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firstSheet="6" activeTab="15"/>
  </bookViews>
  <sheets>
    <sheet name="2017" sheetId="1" r:id="rId1"/>
    <sheet name="2017 по домам" sheetId="10" r:id="rId2"/>
    <sheet name="01.2018" sheetId="2" r:id="rId3"/>
    <sheet name="02.2018" sheetId="3" r:id="rId4"/>
    <sheet name="03.2018" sheetId="4" r:id="rId5"/>
    <sheet name="2018" sheetId="7" r:id="rId6"/>
    <sheet name="Лист2" sheetId="14" r:id="rId7"/>
    <sheet name="расшифр" sheetId="8" r:id="rId8"/>
    <sheet name="2018 по домам" sheetId="9" r:id="rId9"/>
    <sheet name="расшифр (2)" sheetId="13" r:id="rId10"/>
    <sheet name="Лист1" sheetId="12" r:id="rId11"/>
    <sheet name="Лист3" sheetId="15" r:id="rId12"/>
    <sheet name="2019" sheetId="17" r:id="rId13"/>
    <sheet name="51" sheetId="18" r:id="rId14"/>
    <sheet name="26" sheetId="19" r:id="rId15"/>
    <sheet name="2019 по домам" sheetId="16" r:id="rId16"/>
  </sheets>
  <calcPr calcId="144525"/>
</workbook>
</file>

<file path=xl/calcChain.xml><?xml version="1.0" encoding="utf-8"?>
<calcChain xmlns="http://schemas.openxmlformats.org/spreadsheetml/2006/main">
  <c r="C7" i="16" l="1"/>
  <c r="I20" i="18"/>
  <c r="C7" i="17"/>
  <c r="C21" i="17"/>
  <c r="H18" i="18"/>
  <c r="H22" i="18"/>
  <c r="C20" i="17" s="1"/>
  <c r="C27" i="17"/>
  <c r="C19" i="17"/>
  <c r="C23" i="17"/>
  <c r="C18" i="17"/>
  <c r="C17" i="17"/>
  <c r="C10" i="17"/>
  <c r="C11" i="17"/>
  <c r="C22" i="17"/>
  <c r="C14" i="17"/>
  <c r="C15" i="17"/>
  <c r="C16" i="17"/>
  <c r="C24" i="17"/>
  <c r="C25" i="17"/>
  <c r="H20" i="18" l="1"/>
  <c r="C9" i="17"/>
  <c r="G17" i="16"/>
  <c r="F17" i="16"/>
  <c r="C17" i="16" s="1"/>
  <c r="E17" i="16"/>
  <c r="D17" i="16"/>
  <c r="C16" i="16"/>
  <c r="G15" i="16"/>
  <c r="E15" i="16"/>
  <c r="D15" i="16"/>
  <c r="C15" i="16"/>
  <c r="G14" i="16"/>
  <c r="F14" i="16"/>
  <c r="E14" i="16"/>
  <c r="D14" i="16"/>
  <c r="G12" i="16"/>
  <c r="F12" i="16"/>
  <c r="E12" i="16"/>
  <c r="D12" i="16"/>
  <c r="E11" i="16"/>
  <c r="D11" i="16"/>
  <c r="G10" i="16"/>
  <c r="G11" i="16" s="1"/>
  <c r="F10" i="16"/>
  <c r="F11" i="16" s="1"/>
  <c r="C10" i="16"/>
  <c r="G9" i="16"/>
  <c r="G18" i="16" s="1"/>
  <c r="G8" i="16"/>
  <c r="F8" i="16"/>
  <c r="F9" i="16" s="1"/>
  <c r="F18" i="16" s="1"/>
  <c r="E8" i="16"/>
  <c r="E9" i="16" s="1"/>
  <c r="E18" i="16" s="1"/>
  <c r="D8" i="16"/>
  <c r="G7" i="16"/>
  <c r="F7" i="16"/>
  <c r="F21" i="16" s="1"/>
  <c r="E7" i="16"/>
  <c r="E21" i="16" s="1"/>
  <c r="D7" i="16"/>
  <c r="C12" i="17" l="1"/>
  <c r="D18" i="16"/>
  <c r="D21" i="16" s="1"/>
  <c r="G21" i="16"/>
  <c r="D9" i="16"/>
  <c r="C9" i="16" s="1"/>
  <c r="C18" i="16" s="1"/>
  <c r="C21" i="16" s="1"/>
  <c r="C25" i="14"/>
  <c r="C23" i="14"/>
  <c r="C22" i="14"/>
  <c r="C21" i="14"/>
  <c r="C11" i="14"/>
  <c r="C10" i="14"/>
  <c r="C9" i="14"/>
  <c r="C8" i="14"/>
  <c r="C9" i="7" l="1"/>
  <c r="D37" i="8"/>
  <c r="E37" i="8"/>
  <c r="C28" i="7"/>
  <c r="C30" i="7"/>
  <c r="C25" i="7"/>
  <c r="C24" i="7"/>
  <c r="C14" i="7"/>
  <c r="H17" i="8"/>
  <c r="C26" i="7"/>
  <c r="D43" i="8"/>
  <c r="D29" i="13"/>
  <c r="C23" i="7"/>
  <c r="C34" i="7"/>
  <c r="D25" i="13"/>
  <c r="D15" i="13"/>
  <c r="C16" i="9" l="1"/>
  <c r="D58" i="8"/>
  <c r="E14" i="8" s="1"/>
  <c r="D34" i="13"/>
  <c r="D37" i="13"/>
  <c r="D28" i="13"/>
  <c r="D21" i="13"/>
  <c r="D20" i="13"/>
  <c r="D19" i="13"/>
  <c r="D18" i="13"/>
  <c r="D11" i="13"/>
  <c r="D10" i="13"/>
  <c r="D9" i="13"/>
  <c r="D8" i="13"/>
  <c r="D7" i="13"/>
  <c r="D6" i="13"/>
  <c r="G15" i="9"/>
  <c r="E15" i="9"/>
  <c r="D15" i="9"/>
  <c r="D11" i="9"/>
  <c r="G10" i="9"/>
  <c r="G11" i="9" s="1"/>
  <c r="F10" i="9"/>
  <c r="F11" i="9" s="1"/>
  <c r="E11" i="9"/>
  <c r="G8" i="9"/>
  <c r="F8" i="9"/>
  <c r="E8" i="9"/>
  <c r="D8" i="9"/>
  <c r="D9" i="9" s="1"/>
  <c r="G7" i="9"/>
  <c r="F7" i="9"/>
  <c r="E7" i="9"/>
  <c r="D7" i="9"/>
  <c r="D16" i="13" l="1"/>
  <c r="D32" i="13"/>
  <c r="D26" i="13"/>
  <c r="D38" i="13"/>
  <c r="C15" i="9"/>
  <c r="C10" i="9"/>
  <c r="G17" i="9"/>
  <c r="F17" i="9"/>
  <c r="E17" i="9"/>
  <c r="D17" i="9"/>
  <c r="G14" i="9"/>
  <c r="F14" i="9"/>
  <c r="E14" i="9"/>
  <c r="D14" i="9"/>
  <c r="G12" i="9"/>
  <c r="F12" i="9"/>
  <c r="D12" i="9"/>
  <c r="E12" i="9"/>
  <c r="E9" i="9"/>
  <c r="F9" i="9"/>
  <c r="F18" i="9" s="1"/>
  <c r="G9" i="9"/>
  <c r="C9" i="9" l="1"/>
  <c r="G18" i="9"/>
  <c r="D40" i="13"/>
  <c r="G21" i="9"/>
  <c r="C17" i="9"/>
  <c r="E18" i="9"/>
  <c r="E21" i="9" s="1"/>
  <c r="C7" i="9"/>
  <c r="F21" i="9"/>
  <c r="H13" i="8"/>
  <c r="H19" i="8"/>
  <c r="H10" i="8"/>
  <c r="C13" i="7" l="1"/>
  <c r="E33" i="7" s="1"/>
  <c r="D18" i="9" l="1"/>
  <c r="D21" i="9" s="1"/>
  <c r="C18" i="9"/>
  <c r="C21" i="9" s="1"/>
</calcChain>
</file>

<file path=xl/sharedStrings.xml><?xml version="1.0" encoding="utf-8"?>
<sst xmlns="http://schemas.openxmlformats.org/spreadsheetml/2006/main" count="594" uniqueCount="309">
  <si>
    <t xml:space="preserve">       </t>
  </si>
  <si>
    <t xml:space="preserve">           Показатели </t>
  </si>
  <si>
    <t>2017 г.</t>
  </si>
  <si>
    <t>Остаток в подотчете на 01.01.2017 г</t>
  </si>
  <si>
    <t>-  Остаток на счете на 01.01.2017 г.</t>
  </si>
  <si>
    <t>40532,52</t>
  </si>
  <si>
    <t xml:space="preserve">                  2. ДОХОДЫ</t>
  </si>
  <si>
    <t xml:space="preserve"> - плата населения</t>
  </si>
  <si>
    <t>- возврат госпошлины</t>
  </si>
  <si>
    <t>- возврат от ФСС</t>
  </si>
  <si>
    <t xml:space="preserve">                 3 .РАСХОДЫ</t>
  </si>
  <si>
    <t xml:space="preserve">- водоснабжение </t>
  </si>
  <si>
    <t>- водоотведение</t>
  </si>
  <si>
    <t>- теплоснабжение</t>
  </si>
  <si>
    <t>- вывоз мусора</t>
  </si>
  <si>
    <t>- обслуживание ВДГО</t>
  </si>
  <si>
    <t>- спутниковое телевидение</t>
  </si>
  <si>
    <t>- содержание жилья</t>
  </si>
  <si>
    <t>- эл.энергия содержания ои</t>
  </si>
  <si>
    <t>- отведение сточных вод</t>
  </si>
  <si>
    <t>- хвс в целях содерж.</t>
  </si>
  <si>
    <t>- зарплата</t>
  </si>
  <si>
    <t>- налоги</t>
  </si>
  <si>
    <t>- текущий ремонт</t>
  </si>
  <si>
    <t>- транспортные расходы</t>
  </si>
  <si>
    <t>- услуги банка</t>
  </si>
  <si>
    <t>- телефон, интернет</t>
  </si>
  <si>
    <t>12200,00</t>
  </si>
  <si>
    <t>- услуги пульт. центр. охраны</t>
  </si>
  <si>
    <t>- госпошлина</t>
  </si>
  <si>
    <t>- хоз. нужды, канц.товары</t>
  </si>
  <si>
    <t>103565,75</t>
  </si>
  <si>
    <t>Остаток в подотчете на 31.12.2017 г</t>
  </si>
  <si>
    <t>Остаток на счете на 31.12.2017 г.</t>
  </si>
  <si>
    <t>ОТЧЕТ ПО ЖСК «СТРОИТЕЛЬ»</t>
  </si>
  <si>
    <t>об основных показателях финансово-хозяйственной деятельности за 2017 год</t>
  </si>
  <si>
    <t>об основных показателях финансово-хозяйственной деятельности за январь 2018 года</t>
  </si>
  <si>
    <r>
      <t xml:space="preserve">                    </t>
    </r>
    <r>
      <rPr>
        <sz val="16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</si>
  <si>
    <t>2018 г.</t>
  </si>
  <si>
    <t>Остаток в подотчете на 01.01.2018 г</t>
  </si>
  <si>
    <t>-  Остаток на счете на 01.01.2018 г.</t>
  </si>
  <si>
    <t>7889,23</t>
  </si>
  <si>
    <t>600,00</t>
  </si>
  <si>
    <t>13183,00</t>
  </si>
  <si>
    <t>Остаток в подотчете на 31.01.2018 г</t>
  </si>
  <si>
    <t>Остаток на счете на 31.01.2018 г.</t>
  </si>
  <si>
    <t>З/плата 133368,08 = 87818,08+22550 (Кот) + 23000 (Рах)</t>
  </si>
  <si>
    <t>Налоги   34381 = 21991,85+12389,15</t>
  </si>
  <si>
    <t>В т.ч. пособие 7051,08</t>
  </si>
  <si>
    <t>Хоз.расходы                                         Материалы</t>
  </si>
  <si>
    <t>194(контора)</t>
  </si>
  <si>
    <t>2287(14)полотенц.</t>
  </si>
  <si>
    <t>192(почта)</t>
  </si>
  <si>
    <t xml:space="preserve">3246(7) хгвс           </t>
  </si>
  <si>
    <t>420(ключ)</t>
  </si>
  <si>
    <t>5777(14)бойлер</t>
  </si>
  <si>
    <t>500(зубило)</t>
  </si>
  <si>
    <t>50(10)заглушка</t>
  </si>
  <si>
    <t>81(7,14) электрик</t>
  </si>
  <si>
    <t>109(14) электрик</t>
  </si>
  <si>
    <t>40 (14) ключ</t>
  </si>
  <si>
    <t>400 (7,14) круг</t>
  </si>
  <si>
    <t>136(контора) унитаз</t>
  </si>
  <si>
    <t>11520 обсл.программы</t>
  </si>
  <si>
    <t>100(7,14) перчатки________________________________________</t>
  </si>
  <si>
    <t>13183                                                          11864</t>
  </si>
  <si>
    <t>об основных показателях финансово-хозяйственной деятельности за февраль 2018 года</t>
  </si>
  <si>
    <t>Показатели</t>
  </si>
  <si>
    <t>Остаток в подотчете на 01.02.2018 г</t>
  </si>
  <si>
    <t>-  Остаток на счете на 01.02.2018 г.</t>
  </si>
  <si>
    <t>15234,48</t>
  </si>
  <si>
    <t>- ХВС в целях содержания</t>
  </si>
  <si>
    <t>-отведение сточн.вод</t>
  </si>
  <si>
    <t>4855,00</t>
  </si>
  <si>
    <t>Остаток в подотчете на 28.02.2018 г</t>
  </si>
  <si>
    <t>Остаток на счете на 28.02.2018 г.</t>
  </si>
  <si>
    <t>З/плата 128823,35 = 80973,35+24850 (Кот) + 23000 (Рах)</t>
  </si>
  <si>
    <t>Налоги   33088 = 20070,95+13017,05</t>
  </si>
  <si>
    <t>В т.ч. пособие 7227,35</t>
  </si>
  <si>
    <t>270(конт)</t>
  </si>
  <si>
    <t>4136(7) ХВС.полотенц</t>
  </si>
  <si>
    <t>150(10)пружина                                   249(10)ГВС</t>
  </si>
  <si>
    <t>1515(конт)домофон                             3601(7) канал.</t>
  </si>
  <si>
    <t>260 электрик</t>
  </si>
  <si>
    <t>60 конверты</t>
  </si>
  <si>
    <t>2400 программа</t>
  </si>
  <si>
    <t>200 картридж</t>
  </si>
  <si>
    <t xml:space="preserve">4855                                                        7986       </t>
  </si>
  <si>
    <t>об основных показателях финансово-хозяйственной деятельности за март 2018 года</t>
  </si>
  <si>
    <t>Остаток в подотчете на 01.03.2018 г</t>
  </si>
  <si>
    <t>-  Остаток на счете на 01.03.2018 г.</t>
  </si>
  <si>
    <t>225835,32</t>
  </si>
  <si>
    <t>14916,00</t>
  </si>
  <si>
    <t>Остаток в подотчете на 31.03.2018 г</t>
  </si>
  <si>
    <t>Остаток на счете на 31.03.2018 г.</t>
  </si>
  <si>
    <t>З/плата 126624,35 = 81074,35+34050 (Кот) + 11500 (Рах)</t>
  </si>
  <si>
    <t>Налоги   32539 = 20126,85+12412,15</t>
  </si>
  <si>
    <t>2701 (14) краска                                    276 (10) ХВС</t>
  </si>
  <si>
    <t>345 (7)электрик</t>
  </si>
  <si>
    <t>9320 антимагнит</t>
  </si>
  <si>
    <t>150 конверты                                        7018 (14) ХГВС</t>
  </si>
  <si>
    <t>14916                                                        7294</t>
  </si>
  <si>
    <t>об основных показателях финансово-хозяйственной деятельности за  2018 года</t>
  </si>
  <si>
    <t>-  Водоснабжение и водоотведение</t>
  </si>
  <si>
    <t>Остаток в подотчете на 31.12.2018 г</t>
  </si>
  <si>
    <t>Остаток на счете на 31.12.2018 г.</t>
  </si>
  <si>
    <t>ЖСК "Строитель"</t>
  </si>
  <si>
    <t>Оборотно-сальдовая ведомость по счету 51 за 2018 г.</t>
  </si>
  <si>
    <t>Счет</t>
  </si>
  <si>
    <t>Сальдо на начало периода</t>
  </si>
  <si>
    <t>Обороты за период</t>
  </si>
  <si>
    <t>Сальдо на конец периода</t>
  </si>
  <si>
    <t>Банковские счета</t>
  </si>
  <si>
    <t>Дебет</t>
  </si>
  <si>
    <t>Кредит</t>
  </si>
  <si>
    <t>Статьи движения денежных средств</t>
  </si>
  <si>
    <t>51</t>
  </si>
  <si>
    <t>Основной</t>
  </si>
  <si>
    <t>&lt;...&gt;</t>
  </si>
  <si>
    <t>Водоотведение</t>
  </si>
  <si>
    <t>Водоснабжение</t>
  </si>
  <si>
    <t>Водоснабжение и водоотведение</t>
  </si>
  <si>
    <t>Выдача под авансовый отчет</t>
  </si>
  <si>
    <t>Выплата зарплаты</t>
  </si>
  <si>
    <t>Выполненные работы</t>
  </si>
  <si>
    <t>Гос.пошлина</t>
  </si>
  <si>
    <t>Единый налог</t>
  </si>
  <si>
    <t>Налог от НС</t>
  </si>
  <si>
    <t>Налог ПФР СЧ</t>
  </si>
  <si>
    <t>Налог ФСС</t>
  </si>
  <si>
    <t>Налог ФФОМС</t>
  </si>
  <si>
    <t>Обслуживание и ремонт ВДГО</t>
  </si>
  <si>
    <t>ОДН на электроэнергию</t>
  </si>
  <si>
    <t>Оплата населения</t>
  </si>
  <si>
    <t>Отведение сточных вод в целях содержания ОИ</t>
  </si>
  <si>
    <t>Пени</t>
  </si>
  <si>
    <t>Подоходный налог</t>
  </si>
  <si>
    <t>Поступление МПЗ</t>
  </si>
  <si>
    <t>Сбор, вывоз и захоронение ТБО</t>
  </si>
  <si>
    <t>Спутниковое телевидение</t>
  </si>
  <si>
    <t>Теплоэнергия</t>
  </si>
  <si>
    <t>Услуги банка</t>
  </si>
  <si>
    <t>Услуги охраны</t>
  </si>
  <si>
    <t>ХВС в целях содержания ОИ</t>
  </si>
  <si>
    <t>штраф</t>
  </si>
  <si>
    <t>Итого</t>
  </si>
  <si>
    <t>За год</t>
  </si>
  <si>
    <t>10 А</t>
  </si>
  <si>
    <t>Общая площадь м2</t>
  </si>
  <si>
    <t xml:space="preserve">Плата населения в рублях </t>
  </si>
  <si>
    <t>Зарпл. обслуживающ. персонала с подоходным 13% налогом</t>
  </si>
  <si>
    <t>Налоги</t>
  </si>
  <si>
    <t>17912,85/л</t>
  </si>
  <si>
    <t>Услуги пульт.сигн.охр.</t>
  </si>
  <si>
    <t>Телефон, интернет</t>
  </si>
  <si>
    <t>Транспорт. расходы</t>
  </si>
  <si>
    <t>Эл.энергия в целях ОИ</t>
  </si>
  <si>
    <t>Отвед. ст.вод ХВС ОИ</t>
  </si>
  <si>
    <t>Госпошлина</t>
  </si>
  <si>
    <t>Хоз. расходы, канц.товары</t>
  </si>
  <si>
    <t>Итого:</t>
  </si>
  <si>
    <t xml:space="preserve">На содержание жилья </t>
  </si>
  <si>
    <t>Работы по содержанию жилья</t>
  </si>
  <si>
    <t>ИТОГИ</t>
  </si>
  <si>
    <t>(-)30872,03</t>
  </si>
  <si>
    <t>О Т Ч Е Т</t>
  </si>
  <si>
    <t>по содержанию многоквартирных домов</t>
  </si>
  <si>
    <t>за  2017 год по ЖСК «Строитель»</t>
  </si>
  <si>
    <t>Услуги пульт.сигн.охраны</t>
  </si>
  <si>
    <t>за  2018 год по ЖСК «Строитель»</t>
  </si>
  <si>
    <t>№ п/п</t>
  </si>
  <si>
    <t>Работы</t>
  </si>
  <si>
    <t>Сумма</t>
  </si>
  <si>
    <t>Ул. Металлистов, дом 14</t>
  </si>
  <si>
    <t>Отопление, бойлер</t>
  </si>
  <si>
    <t>Ремонт ГВС, ХВС, полотенцесушителя</t>
  </si>
  <si>
    <t>Ремонт канализации</t>
  </si>
  <si>
    <t>Ул. Строителей, дом 7</t>
  </si>
  <si>
    <t>Отопление</t>
  </si>
  <si>
    <t>Ремонт ГВС, ХВС, полотенцесушителей</t>
  </si>
  <si>
    <t>Герметезация швов</t>
  </si>
  <si>
    <t>Пр.Гагарина, 8-15</t>
  </si>
  <si>
    <t>Ремонт ГВС, ХВС</t>
  </si>
  <si>
    <t>Очистка крыши от снега</t>
  </si>
  <si>
    <t>Пр.Гагарина, 7-10А</t>
  </si>
  <si>
    <t>Ремонт ГВС, ХВС, отопления</t>
  </si>
  <si>
    <t>Всего:</t>
  </si>
  <si>
    <r>
      <t xml:space="preserve">         </t>
    </r>
    <r>
      <rPr>
        <b/>
        <sz val="16"/>
        <color theme="1"/>
        <rFont val="Times New Roman"/>
        <family val="1"/>
        <charset val="204"/>
      </rPr>
      <t xml:space="preserve">Перечень выполненных работ по ЖСК «Строитель»                </t>
    </r>
  </si>
  <si>
    <t>за  2018 год.</t>
  </si>
  <si>
    <t>Транспортные услуги</t>
  </si>
  <si>
    <t>Установка светильников (замена)</t>
  </si>
  <si>
    <t>Установка грязевика (резка, сварка труб)</t>
  </si>
  <si>
    <t>Зарплата председателя и бухгалтера (паспортиста) с подоходным 13% налогом</t>
  </si>
  <si>
    <t>Оплата поступившая от населения на содерж. и тек.ремонт ОИ</t>
  </si>
  <si>
    <t>Оплата за выполненые работы с учетом налогов</t>
  </si>
  <si>
    <t>Ремонт межпанельных швов</t>
  </si>
  <si>
    <t>ИП Механошина</t>
  </si>
  <si>
    <t>ИП Скородумова С.С.</t>
  </si>
  <si>
    <t>Киселева Людмила Михайловна</t>
  </si>
  <si>
    <t>ПСК ОПТИМА ООО</t>
  </si>
  <si>
    <t>Сюткина Гульшат Фанилевна</t>
  </si>
  <si>
    <t>ИП Анохина Татьяна Борисовна</t>
  </si>
  <si>
    <t>ИП Гильмутдинов В.В.</t>
  </si>
  <si>
    <t>ИП Загуменов А.П.</t>
  </si>
  <si>
    <t>ИП Загуменов Андрей Петрович</t>
  </si>
  <si>
    <t>ИП Загуменов Н. А.</t>
  </si>
  <si>
    <t>ИП Лаврентьев Сергей Геннадьевич</t>
  </si>
  <si>
    <t>ИП Шагалеев Галим Нагимович</t>
  </si>
  <si>
    <t>Николаев Алексей Владимирович</t>
  </si>
  <si>
    <t>ООО "АСПЛОМБ-Урал"</t>
  </si>
  <si>
    <t>ООО "Смирнов бэттериз"</t>
  </si>
  <si>
    <t>ПФ СКБ КОНТУР АО</t>
  </si>
  <si>
    <t>Ремонт кровли</t>
  </si>
  <si>
    <t>Оплата сторонним организациям за вып.работы</t>
  </si>
  <si>
    <t>Переходящий остаток с 2017г.</t>
  </si>
  <si>
    <t>Хоз. расходы, материалы, канц.товары</t>
  </si>
  <si>
    <t>Всего за 2018г.:</t>
  </si>
  <si>
    <t>- отведение сточн.вод</t>
  </si>
  <si>
    <t>Хоз. расходы, канц., материалы для работ</t>
  </si>
  <si>
    <t>Установка (замена) окон в офисе</t>
  </si>
  <si>
    <t>Установка (замена) жел.двери в эл.щитовой</t>
  </si>
  <si>
    <t>предоплата</t>
  </si>
  <si>
    <t>`- налоги, пени</t>
  </si>
  <si>
    <t>МУП"Коммунальные сети"(тепло)</t>
  </si>
  <si>
    <t>ООО "АЖИО-КОНТО"</t>
  </si>
  <si>
    <t>`- хоз. нужды, канц.товары, запасы</t>
  </si>
  <si>
    <t>Остаток на счете на 01.01.2018 г.</t>
  </si>
  <si>
    <t>возврат ФСС</t>
  </si>
  <si>
    <t>плата населения</t>
  </si>
  <si>
    <t>проценты банка</t>
  </si>
  <si>
    <t>Ноябрь 2018г.</t>
  </si>
  <si>
    <t>Сентябрь 2018г.</t>
  </si>
  <si>
    <t>- резка трубы ДУ 150; сварка 2х швов ДУ150;</t>
  </si>
  <si>
    <t xml:space="preserve">- установка резьбы ДУ15, установка и сварка отвода ДУ32, установка крана. </t>
  </si>
  <si>
    <t>Май 2018г.</t>
  </si>
  <si>
    <r>
      <t xml:space="preserve">Аварийный ремонт стояков ХГВС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32-44, подвал (Демонтаж старых стальных труб,  бурение отверстий в перекрытиях, монтаж п/п труб, подключение, запенивание отверстий)</t>
    </r>
  </si>
  <si>
    <r>
      <t xml:space="preserve">Аварийный ремонт стояков ХГВС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35-44, подвал (Демонтаж старых стальных труб,  тройников, бурение отверстий в перекрытиях, монтаж пластиковых труб,  запенивание отверстий, подключение)</t>
    </r>
  </si>
  <si>
    <r>
      <t xml:space="preserve">Аварийный ремонт стояка полотенцесушителей по адресу: </t>
    </r>
    <r>
      <rPr>
        <b/>
        <u/>
        <sz val="14"/>
        <color theme="1"/>
        <rFont val="Times New Roman"/>
        <family val="1"/>
        <charset val="204"/>
      </rPr>
      <t>ул. Строителей,  дом 7</t>
    </r>
    <r>
      <rPr>
        <sz val="14"/>
        <color theme="1"/>
        <rFont val="Times New Roman"/>
        <family val="1"/>
        <charset val="204"/>
      </rPr>
      <t>, 2-ой подъезд, 5этаж, подвал (Демонтаж старых стальных труб, отключение от отопления, монтаж п/п труб,  подключение к горячей воде (резка, сварка))</t>
    </r>
  </si>
  <si>
    <r>
      <t xml:space="preserve">Аварийный ремонт стояка полотенцесушителей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32-44, подвал (Демонтаж старых стальных труб,  бурение отверстий в перекрытиях, монтаж п/п труб, подключение, запенивание отверстий)</t>
    </r>
  </si>
  <si>
    <t>Апрель 2018г.</t>
  </si>
  <si>
    <r>
      <t xml:space="preserve">Аварийный ремонт стояка полотенцесушителей по адресу: </t>
    </r>
    <r>
      <rPr>
        <b/>
        <u/>
        <sz val="14"/>
        <color theme="1"/>
        <rFont val="Times New Roman"/>
        <family val="1"/>
        <charset val="204"/>
      </rPr>
      <t>ул. Строителей,  дом 7</t>
    </r>
    <r>
      <rPr>
        <sz val="14"/>
        <color theme="1"/>
        <rFont val="Times New Roman"/>
        <family val="1"/>
        <charset val="204"/>
      </rPr>
      <t>, кв. 90-102, подвал (Демонтаж старых стальных труб,  бурение отверстий в перекрытиях, монтаж п/п труб, подключение, запенивание отверстий)</t>
    </r>
  </si>
  <si>
    <r>
      <t xml:space="preserve">Аварийный ремонт канализационного стояка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31-43, подвал (Демонтаж старых стальных труб,  бурение отверстий в перекрытиях, монтаж п/п труб, подключение, запенивание отверстий)</t>
    </r>
  </si>
  <si>
    <r>
      <t xml:space="preserve">Аварийный ремонт канализационного стояка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17-29, подвал (Демонтаж старых стальных труб,  бурение отверстий в перекрытиях, монтаж п/п труб, подключение, запенивание отверстий)</t>
    </r>
  </si>
  <si>
    <t>Март 2018г.</t>
  </si>
  <si>
    <r>
      <t xml:space="preserve">Аварийный ремонт стояков ХГВС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31-43, подвал (Демонтаж старых стальных труб,  бурение отверстий в перекрытиях, монтаж п/пропиленовых труб, подключение, запенивание отверстий)</t>
    </r>
  </si>
  <si>
    <r>
      <t xml:space="preserve">Аварийный ремонт стояков ХГВС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17-29, подвал (Демонтаж старых стальных труб,  бурение отверстий в перекрытиях, монтаж п/пропиленовых труб, подключение, запенивание отверстий)</t>
    </r>
  </si>
  <si>
    <r>
      <t xml:space="preserve">Установка светильников и датчиков движения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 и ул. Строителей,  дом 7</t>
    </r>
    <r>
      <rPr>
        <sz val="14"/>
        <color theme="1"/>
        <rFont val="Times New Roman"/>
        <family val="1"/>
        <charset val="204"/>
      </rPr>
      <t>. Установка светильников и датчиков движения в прихожих всех подъездов (бурение стен, прокладка кабеля, подключение, настройка)</t>
    </r>
  </si>
  <si>
    <t>Февраль 2018г.</t>
  </si>
  <si>
    <t xml:space="preserve">демонтаж стальных труб ø20; </t>
  </si>
  <si>
    <t>штробление отверстий в плитах перекрытий ø25, прокладка полипропиленовых труб ø25 от подвала до 5-го этажа (длиной 25м);</t>
  </si>
  <si>
    <t xml:space="preserve">пайка соединений, установка кранов, опрессовка стояков ХВС и ГВС . </t>
  </si>
  <si>
    <r>
      <t xml:space="preserve">Аварийный ремонт стояков ХГВС в доме №7 на </t>
    </r>
    <r>
      <rPr>
        <b/>
        <u/>
        <sz val="14"/>
        <color theme="1"/>
        <rFont val="Times New Roman"/>
        <family val="1"/>
        <charset val="204"/>
      </rPr>
      <t>ул.Строителей</t>
    </r>
    <r>
      <rPr>
        <sz val="14"/>
        <color theme="1"/>
        <rFont val="Times New Roman"/>
        <family val="1"/>
        <charset val="204"/>
      </rPr>
      <t xml:space="preserve"> кв. 17, 20, 23, 26, 29:</t>
    </r>
  </si>
  <si>
    <r>
      <t xml:space="preserve">Аварийный ремонт стояков ХГВС в доме </t>
    </r>
    <r>
      <rPr>
        <b/>
        <u/>
        <sz val="14"/>
        <color theme="1"/>
        <rFont val="Times New Roman"/>
        <family val="1"/>
        <charset val="204"/>
      </rPr>
      <t>№7 на ул.Строителей</t>
    </r>
    <r>
      <rPr>
        <sz val="14"/>
        <color theme="1"/>
        <rFont val="Times New Roman"/>
        <family val="1"/>
        <charset val="204"/>
      </rPr>
      <t xml:space="preserve"> кв. 20-23: замена части металлической трубы на полипропилен (резка, пайка)</t>
    </r>
  </si>
  <si>
    <r>
      <t xml:space="preserve">Аварийный ремонт стояков отопления в бойлере №2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: срезали старую систему с насосом, сварили новую (увеличили диаметр труб), изготовили обводную систему с установкой затвора (резка, сварка)</t>
    </r>
  </si>
  <si>
    <r>
      <t xml:space="preserve">Аварийный ремонт канализационного стояка по адресу: </t>
    </r>
    <r>
      <rPr>
        <b/>
        <u/>
        <sz val="14"/>
        <color theme="1"/>
        <rFont val="Times New Roman"/>
        <family val="1"/>
        <charset val="204"/>
      </rPr>
      <t>ул. Строителей,  дом 7</t>
    </r>
    <r>
      <rPr>
        <sz val="14"/>
        <color theme="1"/>
        <rFont val="Times New Roman"/>
        <family val="1"/>
        <charset val="204"/>
      </rPr>
      <t>, кв. 105-111, подвал (Демонтаж старых стальных труб,  бурение отверстий в перекрытиях, монтаж п/п труб, подключение, запенивание отверстий)</t>
    </r>
  </si>
  <si>
    <r>
      <t xml:space="preserve">Аварийный ремонт стояка полотенцесушителей по адресу: </t>
    </r>
    <r>
      <rPr>
        <b/>
        <u/>
        <sz val="14"/>
        <color theme="1"/>
        <rFont val="Times New Roman"/>
        <family val="1"/>
        <charset val="204"/>
      </rPr>
      <t>ул. Строителей,  дом 7</t>
    </r>
    <r>
      <rPr>
        <sz val="14"/>
        <color theme="1"/>
        <rFont val="Times New Roman"/>
        <family val="1"/>
        <charset val="204"/>
      </rPr>
      <t>, кв. 112-115, подвал (Демонтаж старых стальных труб,  бурение отверстий в перекрытиях, монтаж п/п труб, подключение, запенивание отверстий)</t>
    </r>
  </si>
  <si>
    <r>
      <t xml:space="preserve">Аварийный ремонт горизонтального канализационного стояка в нежилой квартире по адресу: </t>
    </r>
    <r>
      <rPr>
        <b/>
        <u/>
        <sz val="14"/>
        <color theme="1"/>
        <rFont val="Times New Roman"/>
        <family val="1"/>
        <charset val="204"/>
      </rPr>
      <t>ул. Строителей,  дом 7</t>
    </r>
    <r>
      <rPr>
        <sz val="14"/>
        <color theme="1"/>
        <rFont val="Times New Roman"/>
        <family val="1"/>
        <charset val="204"/>
      </rPr>
      <t>, кв. 111, подвал (Демонтаж старой чугунной трубы, монтаж п/п труб, установка унитаза, подключение, запенивание отверстий)</t>
    </r>
  </si>
  <si>
    <r>
      <t xml:space="preserve">Установка светильников и датчиков движения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. Установка светильников и датчиков движения на всех этажах в подъездах дома (бурение стен, прокладка кабеля, подключение, настройка)</t>
    </r>
  </si>
  <si>
    <t>Январь 2018г.</t>
  </si>
  <si>
    <r>
      <t xml:space="preserve">Аварийный ремонт стояка полотенцесушителей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, кв. 48-60, подвал (Демонтаж старых стальных труб,  бурение отверстий в перекрытиях, монтаж п/п труб, установка полотенцесушителей, подключение, запенивание отверстий)</t>
    </r>
  </si>
  <si>
    <r>
      <t xml:space="preserve">Аварийный ремонт стояков отопления в бойлере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</t>
    </r>
    <r>
      <rPr>
        <sz val="14"/>
        <color theme="1"/>
        <rFont val="Times New Roman"/>
        <family val="1"/>
        <charset val="204"/>
      </rPr>
      <t>: срезали старую систему с насосом, сварили новую (увеличили диаметр труб), изготовили обводную систему с установкой 80-го затвора (резка, сварка)</t>
    </r>
  </si>
  <si>
    <r>
      <t xml:space="preserve">Аварийный ремонт стояка отопления по адресу: </t>
    </r>
    <r>
      <rPr>
        <b/>
        <u/>
        <sz val="14"/>
        <color theme="1"/>
        <rFont val="Times New Roman"/>
        <family val="1"/>
        <charset val="204"/>
      </rPr>
      <t>ул. Металлистов,  дом 14 кв. 108-111</t>
    </r>
    <r>
      <rPr>
        <sz val="14"/>
        <color theme="1"/>
        <rFont val="Times New Roman"/>
        <family val="1"/>
        <charset val="204"/>
      </rPr>
      <t>: Демонтаж старых стальных труб в квартире №111, стальных отводов у потолков в квартире №108, монтаж п/пропиленовых труб (резка, сварка резьбы), подключение)</t>
    </r>
  </si>
  <si>
    <r>
      <t xml:space="preserve">Аварийный ремонт стояков ХГВС в доме </t>
    </r>
    <r>
      <rPr>
        <b/>
        <u/>
        <sz val="14"/>
        <color theme="1"/>
        <rFont val="Times New Roman"/>
        <family val="1"/>
        <charset val="204"/>
      </rPr>
      <t>№7 на ул.Строителей</t>
    </r>
    <r>
      <rPr>
        <sz val="14"/>
        <color theme="1"/>
        <rFont val="Times New Roman"/>
        <family val="1"/>
        <charset val="204"/>
      </rPr>
      <t xml:space="preserve"> кв. 107, подвал: Демонтаж старых стальных труб, замена на полипропилен (резка, сварка резьбы), подключение</t>
    </r>
  </si>
  <si>
    <r>
      <t xml:space="preserve">Установка светильников и датчиков движения по адресу </t>
    </r>
    <r>
      <rPr>
        <b/>
        <u/>
        <sz val="14"/>
        <color theme="1"/>
        <rFont val="Times New Roman"/>
        <family val="1"/>
        <charset val="204"/>
      </rPr>
      <t>ул. Строителей,  дом 7</t>
    </r>
    <r>
      <rPr>
        <sz val="14"/>
        <color theme="1"/>
        <rFont val="Times New Roman"/>
        <family val="1"/>
        <charset val="204"/>
      </rPr>
      <t>. Установка светильников и датчиков движения на всех этажах в подъездах дома (бурение стен, прокладка кабеля, подключение, настройка)</t>
    </r>
  </si>
  <si>
    <t>Период</t>
  </si>
  <si>
    <r>
      <t xml:space="preserve">Замена светильника по адресу дом </t>
    </r>
    <r>
      <rPr>
        <b/>
        <u/>
        <sz val="14"/>
        <color theme="1"/>
        <rFont val="Times New Roman"/>
        <family val="1"/>
        <charset val="204"/>
      </rPr>
      <t>№7 на ул. Строителей;</t>
    </r>
  </si>
  <si>
    <r>
      <t xml:space="preserve">Замена светильника по адресу дом </t>
    </r>
    <r>
      <rPr>
        <b/>
        <u/>
        <sz val="14"/>
        <color theme="1"/>
        <rFont val="Times New Roman"/>
        <family val="1"/>
        <charset val="204"/>
      </rPr>
      <t>№14 на ул. Металлистов;</t>
    </r>
  </si>
  <si>
    <r>
      <t xml:space="preserve">Замена светильника по адресу дом </t>
    </r>
    <r>
      <rPr>
        <b/>
        <u/>
        <sz val="14"/>
        <color theme="1"/>
        <rFont val="Times New Roman"/>
        <family val="1"/>
        <charset val="204"/>
      </rPr>
      <t>№15 на пр. Гагарина 8 линия.</t>
    </r>
  </si>
  <si>
    <r>
      <t xml:space="preserve">Установка грязевика на входе в </t>
    </r>
    <r>
      <rPr>
        <b/>
        <u/>
        <sz val="14"/>
        <color theme="1"/>
        <rFont val="Times New Roman"/>
        <family val="1"/>
        <charset val="204"/>
      </rPr>
      <t>дом  №14 на ул. Металлистов</t>
    </r>
    <r>
      <rPr>
        <sz val="14"/>
        <color theme="1"/>
        <rFont val="Times New Roman"/>
        <family val="1"/>
        <charset val="204"/>
      </rPr>
      <t>;</t>
    </r>
  </si>
  <si>
    <t>Октябрь 2018г.</t>
  </si>
  <si>
    <r>
      <t xml:space="preserve">Выполнен ремонт межпанельных швов по адресу дом </t>
    </r>
    <r>
      <rPr>
        <b/>
        <u/>
        <sz val="14"/>
        <color theme="1"/>
        <rFont val="Times New Roman"/>
        <family val="1"/>
        <charset val="204"/>
      </rPr>
      <t>№7 на ул. Строителей</t>
    </r>
    <r>
      <rPr>
        <sz val="14"/>
        <color theme="1"/>
        <rFont val="Times New Roman"/>
        <family val="1"/>
        <charset val="204"/>
      </rPr>
      <t>, 77,8 кв.м.</t>
    </r>
  </si>
  <si>
    <r>
      <t xml:space="preserve">Выполнен ремонт межпанельных швов по адресу </t>
    </r>
    <r>
      <rPr>
        <b/>
        <u/>
        <sz val="14"/>
        <color theme="1"/>
        <rFont val="Times New Roman"/>
        <family val="1"/>
        <charset val="204"/>
      </rPr>
      <t xml:space="preserve">на пр. Гагарина 7-я лин. дом №10а </t>
    </r>
    <r>
      <rPr>
        <sz val="14"/>
        <color theme="1"/>
        <rFont val="Times New Roman"/>
        <family val="1"/>
        <charset val="204"/>
      </rPr>
      <t>, 9,8 кв.м.</t>
    </r>
  </si>
  <si>
    <r>
      <t xml:space="preserve">Произведена установка (замена) окна в офисе ул. </t>
    </r>
    <r>
      <rPr>
        <b/>
        <u/>
        <sz val="14"/>
        <color theme="1"/>
        <rFont val="Times New Roman"/>
        <family val="1"/>
        <charset val="204"/>
      </rPr>
      <t>Металлистов,  дом 14</t>
    </r>
    <r>
      <rPr>
        <sz val="14"/>
        <color theme="1"/>
        <rFont val="Times New Roman"/>
        <family val="1"/>
        <charset val="204"/>
      </rPr>
      <t>, кв.107</t>
    </r>
  </si>
  <si>
    <t>Август 2018г.</t>
  </si>
  <si>
    <r>
      <t xml:space="preserve">Выполнен ремонт межпанельных швов по адресу </t>
    </r>
    <r>
      <rPr>
        <b/>
        <u/>
        <sz val="14"/>
        <color theme="1"/>
        <rFont val="Times New Roman"/>
        <family val="1"/>
        <charset val="204"/>
      </rPr>
      <t xml:space="preserve">на пр. Гагарина 7-я лин. дом №10а </t>
    </r>
    <r>
      <rPr>
        <sz val="14"/>
        <color theme="1"/>
        <rFont val="Times New Roman"/>
        <family val="1"/>
        <charset val="204"/>
      </rPr>
      <t>, 219,8 кв.м.</t>
    </r>
  </si>
  <si>
    <t>Июль 2018г.</t>
  </si>
  <si>
    <r>
      <t xml:space="preserve">Выполнен ремонт кровли по адресу </t>
    </r>
    <r>
      <rPr>
        <b/>
        <u/>
        <sz val="14"/>
        <color theme="1"/>
        <rFont val="Times New Roman"/>
        <family val="1"/>
        <charset val="204"/>
      </rPr>
      <t xml:space="preserve"> ул.Металлистов,  дом 14 , </t>
    </r>
    <r>
      <rPr>
        <sz val="14"/>
        <color theme="1"/>
        <rFont val="Times New Roman"/>
        <family val="1"/>
        <charset val="204"/>
      </rPr>
      <t>12 кв.м.</t>
    </r>
  </si>
  <si>
    <r>
      <t xml:space="preserve">Выполнен ремонт кровли по адресу </t>
    </r>
    <r>
      <rPr>
        <b/>
        <u/>
        <sz val="14"/>
        <color theme="1"/>
        <rFont val="Times New Roman"/>
        <family val="1"/>
        <charset val="204"/>
      </rPr>
      <t xml:space="preserve"> ул. Строителей дом №7 , </t>
    </r>
    <r>
      <rPr>
        <sz val="14"/>
        <color theme="1"/>
        <rFont val="Times New Roman"/>
        <family val="1"/>
        <charset val="204"/>
      </rPr>
      <t>12 кв.м.</t>
    </r>
  </si>
  <si>
    <t>Июнь 2018г.</t>
  </si>
  <si>
    <r>
      <t xml:space="preserve">Выполнен ремонт межпанельных швов по адресу </t>
    </r>
    <r>
      <rPr>
        <b/>
        <u/>
        <sz val="14"/>
        <color theme="1"/>
        <rFont val="Times New Roman"/>
        <family val="1"/>
        <charset val="204"/>
      </rPr>
      <t xml:space="preserve">на ул. Металлистов,  дом 14 </t>
    </r>
    <r>
      <rPr>
        <sz val="14"/>
        <color theme="1"/>
        <rFont val="Times New Roman"/>
        <family val="1"/>
        <charset val="204"/>
      </rPr>
      <t>, 155,8 кв.м.</t>
    </r>
  </si>
  <si>
    <r>
      <t xml:space="preserve">Выполнен ремонт мягкой кровли по адресу </t>
    </r>
    <r>
      <rPr>
        <b/>
        <u/>
        <sz val="14"/>
        <color theme="1"/>
        <rFont val="Times New Roman"/>
        <family val="1"/>
        <charset val="204"/>
      </rPr>
      <t xml:space="preserve"> ул. Металлистов,  дом 14 , </t>
    </r>
    <r>
      <rPr>
        <sz val="14"/>
        <color theme="1"/>
        <rFont val="Times New Roman"/>
        <family val="1"/>
        <charset val="204"/>
      </rPr>
      <t>18 кв.м.</t>
    </r>
  </si>
  <si>
    <r>
      <t xml:space="preserve">Выполнен ремонт мягкой кровли по адресу </t>
    </r>
    <r>
      <rPr>
        <b/>
        <u/>
        <sz val="14"/>
        <color theme="1"/>
        <rFont val="Times New Roman"/>
        <family val="1"/>
        <charset val="204"/>
      </rPr>
      <t xml:space="preserve"> ул. Строителей дом 7 , </t>
    </r>
    <r>
      <rPr>
        <sz val="14"/>
        <color theme="1"/>
        <rFont val="Times New Roman"/>
        <family val="1"/>
        <charset val="204"/>
      </rPr>
      <t>52 кв.м.</t>
    </r>
  </si>
  <si>
    <r>
      <t xml:space="preserve">об основных показателях финансово-хозяйственной деятельности за  </t>
    </r>
    <r>
      <rPr>
        <b/>
        <sz val="14"/>
        <color rgb="FF0070C0"/>
        <rFont val="Times New Roman"/>
        <family val="1"/>
        <charset val="204"/>
      </rPr>
      <t>2019 год</t>
    </r>
  </si>
  <si>
    <t>Оборотно-сальдовая ведомость по счету 51 за 2019 г.</t>
  </si>
  <si>
    <t>Выводимые данные:</t>
  </si>
  <si>
    <t>БУ (данные бухгалтерского учета)</t>
  </si>
  <si>
    <t>42202810772000000289, ЧЕЛЯБИНСКОЕ ОТДЕЛЕНИЕ N8597 ПАО СБЕРБАНК</t>
  </si>
  <si>
    <t>Банковский вклад</t>
  </si>
  <si>
    <t>Возврат средств</t>
  </si>
  <si>
    <t>За телефон</t>
  </si>
  <si>
    <t xml:space="preserve">Проценты </t>
  </si>
  <si>
    <t>Остаток в подотчете на 31.12.2019 г</t>
  </si>
  <si>
    <t>Остаток на счете на 01.01.2019 г.</t>
  </si>
  <si>
    <t>Остаток в подотчете на 01.01.2019 г</t>
  </si>
  <si>
    <t>Остаток на счете на 31.12.2019 г.</t>
  </si>
  <si>
    <t>Оборотно-сальдовая ведомость по счету 26 за 2019 г.</t>
  </si>
  <si>
    <t>Подразделение</t>
  </si>
  <si>
    <t>Статьи затрат</t>
  </si>
  <si>
    <t>26</t>
  </si>
  <si>
    <t>Основное подразделение</t>
  </si>
  <si>
    <t>выполненные работы</t>
  </si>
  <si>
    <t>заправка картриджа</t>
  </si>
  <si>
    <t>списание материалов в производство</t>
  </si>
  <si>
    <t>Телефонная связь</t>
  </si>
  <si>
    <t>транспортные услуги</t>
  </si>
  <si>
    <t>управление эксплуатацией жилого фонда</t>
  </si>
  <si>
    <t>услуги банка</t>
  </si>
  <si>
    <t>услуги охраны</t>
  </si>
  <si>
    <t>коммунальные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</si>
</sst>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9"/>
      <name val="Arial"/>
      <family val="2"/>
      <charset val="204"/>
    </font>
    <font>
      <sz val="14"/>
      <color theme="4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color indexed="21"/>
      <name val="Arial"/>
      <family val="2"/>
      <charset val="204"/>
    </font>
    <font>
      <b/>
      <sz val="10"/>
      <color indexed="21"/>
      <name val="Arial"/>
      <family val="2"/>
      <charset val="204"/>
    </font>
    <font>
      <sz val="9"/>
      <color theme="5" tint="-0.249977111117893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2"/>
      <color theme="4" tint="-0.249977111117893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2"/>
      <color theme="5" tint="-0.249977111117893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sz val="9"/>
      <name val="Arial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color rgb="FF00B050"/>
      <name val="Arial"/>
      <family val="2"/>
      <charset val="204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310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0" borderId="0" xfId="1"/>
    <xf numFmtId="0" fontId="19" fillId="2" borderId="5" xfId="1" applyNumberFormat="1" applyFont="1" applyFill="1" applyBorder="1" applyAlignment="1">
      <alignment vertical="top" wrapText="1"/>
    </xf>
    <xf numFmtId="4" fontId="19" fillId="2" borderId="5" xfId="1" applyNumberFormat="1" applyFont="1" applyFill="1" applyBorder="1" applyAlignment="1">
      <alignment horizontal="right" vertical="top" wrapText="1"/>
    </xf>
    <xf numFmtId="0" fontId="19" fillId="2" borderId="5" xfId="1" applyNumberFormat="1" applyFont="1" applyFill="1" applyBorder="1" applyAlignment="1">
      <alignment horizontal="right" vertical="top" wrapText="1"/>
    </xf>
    <xf numFmtId="0" fontId="20" fillId="2" borderId="5" xfId="1" applyNumberFormat="1" applyFont="1" applyFill="1" applyBorder="1" applyAlignment="1">
      <alignment vertical="top" wrapText="1" indent="1"/>
    </xf>
    <xf numFmtId="4" fontId="20" fillId="2" borderId="5" xfId="1" applyNumberFormat="1" applyFont="1" applyFill="1" applyBorder="1" applyAlignment="1">
      <alignment horizontal="right" vertical="top" wrapText="1"/>
    </xf>
    <xf numFmtId="0" fontId="20" fillId="2" borderId="5" xfId="1" applyNumberFormat="1" applyFont="1" applyFill="1" applyBorder="1" applyAlignment="1">
      <alignment horizontal="right" vertical="top" wrapText="1"/>
    </xf>
    <xf numFmtId="0" fontId="14" fillId="0" borderId="5" xfId="1" applyNumberFormat="1" applyFont="1" applyBorder="1" applyAlignment="1">
      <alignment vertical="top" wrapText="1" indent="2"/>
    </xf>
    <xf numFmtId="0" fontId="14" fillId="0" borderId="5" xfId="1" applyNumberFormat="1" applyFont="1" applyBorder="1" applyAlignment="1">
      <alignment horizontal="right" vertical="top" wrapText="1"/>
    </xf>
    <xf numFmtId="4" fontId="14" fillId="0" borderId="5" xfId="1" applyNumberFormat="1" applyFont="1" applyBorder="1" applyAlignment="1">
      <alignment horizontal="right" vertical="top" wrapText="1"/>
    </xf>
    <xf numFmtId="2" fontId="14" fillId="0" borderId="5" xfId="1" applyNumberFormat="1" applyFont="1" applyBorder="1" applyAlignment="1">
      <alignment horizontal="right" vertical="top" wrapText="1"/>
    </xf>
    <xf numFmtId="0" fontId="21" fillId="2" borderId="7" xfId="1" applyNumberFormat="1" applyFont="1" applyFill="1" applyBorder="1" applyAlignment="1">
      <alignment vertical="top"/>
    </xf>
    <xf numFmtId="4" fontId="21" fillId="2" borderId="7" xfId="1" applyNumberFormat="1" applyFont="1" applyFill="1" applyBorder="1" applyAlignment="1">
      <alignment horizontal="right" vertical="top" wrapText="1"/>
    </xf>
    <xf numFmtId="0" fontId="21" fillId="2" borderId="7" xfId="1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4" fillId="0" borderId="10" xfId="1" applyNumberFormat="1" applyFont="1" applyBorder="1" applyAlignment="1">
      <alignment horizontal="right" vertical="top" wrapText="1"/>
    </xf>
    <xf numFmtId="4" fontId="14" fillId="0" borderId="11" xfId="1" applyNumberFormat="1" applyFont="1" applyBorder="1" applyAlignment="1">
      <alignment horizontal="right" vertical="top" wrapText="1"/>
    </xf>
    <xf numFmtId="0" fontId="14" fillId="0" borderId="11" xfId="1" applyNumberFormat="1" applyFont="1" applyBorder="1" applyAlignment="1">
      <alignment horizontal="right" vertical="top" wrapText="1"/>
    </xf>
    <xf numFmtId="4" fontId="14" fillId="0" borderId="12" xfId="1" applyNumberFormat="1" applyFont="1" applyBorder="1" applyAlignment="1">
      <alignment horizontal="right" vertical="top" wrapText="1"/>
    </xf>
    <xf numFmtId="0" fontId="14" fillId="0" borderId="12" xfId="1" applyNumberFormat="1" applyFont="1" applyBorder="1" applyAlignment="1">
      <alignment horizontal="right" vertical="top" wrapText="1"/>
    </xf>
    <xf numFmtId="4" fontId="22" fillId="0" borderId="13" xfId="1" applyNumberFormat="1" applyFont="1" applyBorder="1" applyAlignment="1">
      <alignment horizontal="right" vertical="top" wrapText="1"/>
    </xf>
    <xf numFmtId="0" fontId="14" fillId="0" borderId="14" xfId="1" applyNumberFormat="1" applyFont="1" applyBorder="1" applyAlignment="1">
      <alignment horizontal="right" vertical="top" wrapText="1"/>
    </xf>
    <xf numFmtId="4" fontId="22" fillId="0" borderId="16" xfId="1" applyNumberFormat="1" applyFont="1" applyBorder="1" applyAlignment="1">
      <alignment horizontal="right" vertical="top" wrapText="1"/>
    </xf>
    <xf numFmtId="4" fontId="22" fillId="0" borderId="18" xfId="1" applyNumberFormat="1" applyFont="1" applyBorder="1" applyAlignment="1">
      <alignment horizontal="right" vertical="top" wrapText="1"/>
    </xf>
    <xf numFmtId="0" fontId="14" fillId="0" borderId="19" xfId="1" applyNumberFormat="1" applyFont="1" applyBorder="1" applyAlignment="1">
      <alignment horizontal="right" vertical="top" wrapText="1"/>
    </xf>
    <xf numFmtId="4" fontId="14" fillId="0" borderId="10" xfId="1" applyNumberFormat="1" applyFont="1" applyBorder="1" applyAlignment="1">
      <alignment horizontal="right" vertical="top" wrapText="1"/>
    </xf>
    <xf numFmtId="4" fontId="14" fillId="0" borderId="13" xfId="1" applyNumberFormat="1" applyFont="1" applyBorder="1" applyAlignment="1">
      <alignment horizontal="right" vertical="top" wrapText="1"/>
    </xf>
    <xf numFmtId="4" fontId="14" fillId="0" borderId="16" xfId="1" applyNumberFormat="1" applyFont="1" applyBorder="1" applyAlignment="1">
      <alignment horizontal="right" vertical="top" wrapText="1"/>
    </xf>
    <xf numFmtId="4" fontId="14" fillId="0" borderId="18" xfId="1" applyNumberFormat="1" applyFont="1" applyBorder="1" applyAlignment="1">
      <alignment horizontal="right" vertical="top" wrapText="1"/>
    </xf>
    <xf numFmtId="0" fontId="22" fillId="0" borderId="14" xfId="1" applyNumberFormat="1" applyFont="1" applyBorder="1" applyAlignment="1">
      <alignment horizontal="right" vertical="top" wrapText="1"/>
    </xf>
    <xf numFmtId="0" fontId="22" fillId="0" borderId="5" xfId="1" applyNumberFormat="1" applyFont="1" applyBorder="1" applyAlignment="1">
      <alignment horizontal="right" vertical="top" wrapText="1"/>
    </xf>
    <xf numFmtId="2" fontId="22" fillId="0" borderId="16" xfId="1" applyNumberFormat="1" applyFont="1" applyBorder="1" applyAlignment="1">
      <alignment horizontal="right" vertical="top" wrapText="1"/>
    </xf>
    <xf numFmtId="0" fontId="22" fillId="0" borderId="19" xfId="1" applyNumberFormat="1" applyFont="1" applyBorder="1" applyAlignment="1">
      <alignment horizontal="right" vertical="top" wrapText="1"/>
    </xf>
    <xf numFmtId="0" fontId="14" fillId="0" borderId="21" xfId="1" applyNumberFormat="1" applyFont="1" applyBorder="1" applyAlignment="1">
      <alignment horizontal="right" vertical="top" wrapText="1"/>
    </xf>
    <xf numFmtId="4" fontId="14" fillId="0" borderId="21" xfId="1" applyNumberFormat="1" applyFont="1" applyBorder="1" applyAlignment="1">
      <alignment horizontal="right" vertical="top" wrapText="1"/>
    </xf>
    <xf numFmtId="4" fontId="10" fillId="0" borderId="0" xfId="0" applyNumberFormat="1" applyFont="1"/>
    <xf numFmtId="0" fontId="20" fillId="2" borderId="7" xfId="1" applyNumberFormat="1" applyFont="1" applyFill="1" applyBorder="1" applyAlignment="1">
      <alignment vertical="top" wrapText="1"/>
    </xf>
    <xf numFmtId="0" fontId="24" fillId="0" borderId="0" xfId="0" applyFont="1"/>
    <xf numFmtId="0" fontId="4" fillId="0" borderId="2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Font="1"/>
    <xf numFmtId="0" fontId="5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8" fillId="0" borderId="0" xfId="0" applyFont="1"/>
    <xf numFmtId="0" fontId="29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30" fillId="0" borderId="0" xfId="0" applyFont="1"/>
    <xf numFmtId="0" fontId="31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0" xfId="0" applyFont="1"/>
    <xf numFmtId="0" fontId="16" fillId="0" borderId="2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right" vertical="center" wrapText="1"/>
    </xf>
    <xf numFmtId="0" fontId="33" fillId="0" borderId="0" xfId="0" applyFont="1" applyAlignment="1">
      <alignment horizontal="right"/>
    </xf>
    <xf numFmtId="0" fontId="3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1" fillId="0" borderId="3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4" fillId="0" borderId="33" xfId="0" applyFont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1" fontId="35" fillId="0" borderId="26" xfId="0" applyNumberFormat="1" applyFont="1" applyBorder="1" applyAlignment="1">
      <alignment horizontal="center" vertical="center" wrapText="1"/>
    </xf>
    <xf numFmtId="1" fontId="35" fillId="0" borderId="34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26" fillId="0" borderId="33" xfId="0" applyFont="1" applyBorder="1" applyAlignment="1">
      <alignment vertical="center" wrapText="1"/>
    </xf>
    <xf numFmtId="1" fontId="27" fillId="0" borderId="26" xfId="0" applyNumberFormat="1" applyFont="1" applyBorder="1" applyAlignment="1">
      <alignment horizontal="center" vertical="center" wrapText="1"/>
    </xf>
    <xf numFmtId="1" fontId="27" fillId="0" borderId="34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7" fillId="0" borderId="0" xfId="0" applyFont="1"/>
    <xf numFmtId="0" fontId="14" fillId="0" borderId="5" xfId="1" applyNumberFormat="1" applyFont="1" applyBorder="1" applyAlignment="1">
      <alignment vertical="top" wrapText="1" indent="1"/>
    </xf>
    <xf numFmtId="4" fontId="0" fillId="0" borderId="0" xfId="0" applyNumberFormat="1"/>
    <xf numFmtId="3" fontId="5" fillId="3" borderId="34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1" fontId="5" fillId="3" borderId="26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 wrapText="1"/>
    </xf>
    <xf numFmtId="1" fontId="5" fillId="4" borderId="26" xfId="0" applyNumberFormat="1" applyFont="1" applyFill="1" applyBorder="1" applyAlignment="1">
      <alignment horizontal="center" vertical="center" wrapText="1"/>
    </xf>
    <xf numFmtId="1" fontId="5" fillId="4" borderId="34" xfId="0" applyNumberFormat="1" applyFont="1" applyFill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3" fontId="5" fillId="4" borderId="26" xfId="0" applyNumberFormat="1" applyFont="1" applyFill="1" applyBorder="1" applyAlignment="1">
      <alignment horizontal="center" vertical="center" wrapText="1"/>
    </xf>
    <xf numFmtId="3" fontId="5" fillId="5" borderId="26" xfId="0" applyNumberFormat="1" applyFont="1" applyFill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3" fontId="4" fillId="0" borderId="43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1" fontId="17" fillId="0" borderId="46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40" fillId="0" borderId="5" xfId="1" applyNumberFormat="1" applyFont="1" applyBorder="1" applyAlignment="1">
      <alignment vertical="top" wrapText="1" indent="1"/>
    </xf>
    <xf numFmtId="0" fontId="40" fillId="0" borderId="5" xfId="1" applyNumberFormat="1" applyFont="1" applyBorder="1" applyAlignment="1">
      <alignment horizontal="right" vertical="top" wrapText="1"/>
    </xf>
    <xf numFmtId="2" fontId="40" fillId="0" borderId="5" xfId="1" applyNumberFormat="1" applyFont="1" applyBorder="1" applyAlignment="1">
      <alignment horizontal="right" vertical="top" wrapText="1"/>
    </xf>
    <xf numFmtId="4" fontId="40" fillId="0" borderId="5" xfId="1" applyNumberFormat="1" applyFont="1" applyBorder="1" applyAlignment="1">
      <alignment horizontal="right" vertical="top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4" fontId="5" fillId="0" borderId="29" xfId="0" applyNumberFormat="1" applyFont="1" applyBorder="1" applyAlignment="1">
      <alignment horizontal="right" vertical="center" wrapText="1"/>
    </xf>
    <xf numFmtId="4" fontId="35" fillId="0" borderId="34" xfId="1" applyNumberFormat="1" applyFont="1" applyBorder="1" applyAlignment="1">
      <alignment horizontal="right" vertical="top" wrapText="1"/>
    </xf>
    <xf numFmtId="4" fontId="5" fillId="0" borderId="32" xfId="0" applyNumberFormat="1" applyFont="1" applyBorder="1" applyAlignment="1">
      <alignment horizontal="right" vertical="center" wrapText="1"/>
    </xf>
    <xf numFmtId="49" fontId="5" fillId="0" borderId="27" xfId="0" applyNumberFormat="1" applyFont="1" applyBorder="1" applyAlignment="1">
      <alignment vertical="center" wrapText="1"/>
    </xf>
    <xf numFmtId="4" fontId="5" fillId="0" borderId="34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9" fontId="5" fillId="0" borderId="33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horizontal="right" vertical="center" wrapText="1"/>
    </xf>
    <xf numFmtId="0" fontId="5" fillId="3" borderId="34" xfId="0" applyFont="1" applyFill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5" fillId="3" borderId="34" xfId="0" applyNumberFormat="1" applyFont="1" applyFill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41" fillId="0" borderId="0" xfId="0" applyFont="1"/>
    <xf numFmtId="0" fontId="5" fillId="0" borderId="26" xfId="0" applyFont="1" applyBorder="1" applyAlignment="1">
      <alignment wrapText="1"/>
    </xf>
    <xf numFmtId="0" fontId="41" fillId="0" borderId="40" xfId="0" applyFont="1" applyBorder="1"/>
    <xf numFmtId="0" fontId="41" fillId="0" borderId="48" xfId="0" applyFont="1" applyBorder="1"/>
    <xf numFmtId="0" fontId="41" fillId="0" borderId="49" xfId="0" applyFont="1" applyBorder="1"/>
    <xf numFmtId="0" fontId="5" fillId="0" borderId="36" xfId="0" applyFont="1" applyBorder="1" applyAlignment="1">
      <alignment wrapText="1"/>
    </xf>
    <xf numFmtId="0" fontId="5" fillId="0" borderId="40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40" xfId="0" applyFont="1" applyBorder="1" applyAlignment="1">
      <alignment wrapText="1"/>
    </xf>
    <xf numFmtId="0" fontId="41" fillId="0" borderId="49" xfId="0" applyFont="1" applyBorder="1" applyAlignment="1">
      <alignment wrapText="1"/>
    </xf>
    <xf numFmtId="0" fontId="41" fillId="0" borderId="26" xfId="0" applyFont="1" applyBorder="1" applyAlignment="1">
      <alignment horizontal="center"/>
    </xf>
    <xf numFmtId="0" fontId="41" fillId="0" borderId="40" xfId="0" applyFont="1" applyBorder="1" applyAlignment="1">
      <alignment vertical="center"/>
    </xf>
    <xf numFmtId="0" fontId="41" fillId="0" borderId="40" xfId="0" applyFont="1" applyBorder="1" applyAlignment="1"/>
    <xf numFmtId="0" fontId="41" fillId="0" borderId="40" xfId="0" applyFont="1" applyBorder="1" applyAlignment="1">
      <alignment vertical="top"/>
    </xf>
    <xf numFmtId="0" fontId="18" fillId="0" borderId="0" xfId="2" applyNumberFormat="1" applyFont="1" applyAlignment="1">
      <alignment wrapText="1"/>
    </xf>
    <xf numFmtId="0" fontId="11" fillId="0" borderId="0" xfId="2"/>
    <xf numFmtId="0" fontId="44" fillId="0" borderId="0" xfId="2" applyNumberFormat="1" applyFont="1" applyAlignment="1">
      <alignment wrapText="1"/>
    </xf>
    <xf numFmtId="0" fontId="45" fillId="0" borderId="0" xfId="2" applyNumberFormat="1" applyFont="1" applyAlignment="1">
      <alignment vertical="top" wrapText="1"/>
    </xf>
    <xf numFmtId="0" fontId="19" fillId="2" borderId="7" xfId="2" applyNumberFormat="1" applyFont="1" applyFill="1" applyBorder="1" applyAlignment="1">
      <alignment vertical="top" wrapText="1"/>
    </xf>
    <xf numFmtId="0" fontId="19" fillId="2" borderId="5" xfId="2" applyNumberFormat="1" applyFont="1" applyFill="1" applyBorder="1" applyAlignment="1">
      <alignment vertical="top" wrapText="1"/>
    </xf>
    <xf numFmtId="4" fontId="19" fillId="2" borderId="5" xfId="2" applyNumberFormat="1" applyFont="1" applyFill="1" applyBorder="1" applyAlignment="1">
      <alignment horizontal="right" vertical="top" wrapText="1"/>
    </xf>
    <xf numFmtId="0" fontId="19" fillId="2" borderId="5" xfId="2" applyNumberFormat="1" applyFont="1" applyFill="1" applyBorder="1" applyAlignment="1">
      <alignment horizontal="right" vertical="top" wrapText="1"/>
    </xf>
    <xf numFmtId="0" fontId="20" fillId="2" borderId="5" xfId="2" applyNumberFormat="1" applyFont="1" applyFill="1" applyBorder="1" applyAlignment="1">
      <alignment vertical="top" wrapText="1" indent="1"/>
    </xf>
    <xf numFmtId="0" fontId="20" fillId="2" borderId="5" xfId="2" applyNumberFormat="1" applyFont="1" applyFill="1" applyBorder="1" applyAlignment="1">
      <alignment horizontal="right" vertical="top" wrapText="1"/>
    </xf>
    <xf numFmtId="4" fontId="20" fillId="2" borderId="5" xfId="2" applyNumberFormat="1" applyFont="1" applyFill="1" applyBorder="1" applyAlignment="1">
      <alignment horizontal="right" vertical="top" wrapText="1"/>
    </xf>
    <xf numFmtId="0" fontId="14" fillId="0" borderId="5" xfId="2" applyNumberFormat="1" applyFont="1" applyBorder="1" applyAlignment="1">
      <alignment vertical="top" wrapText="1" indent="2"/>
    </xf>
    <xf numFmtId="0" fontId="14" fillId="0" borderId="5" xfId="2" applyNumberFormat="1" applyFont="1" applyBorder="1" applyAlignment="1">
      <alignment horizontal="right" vertical="top" wrapText="1"/>
    </xf>
    <xf numFmtId="4" fontId="14" fillId="0" borderId="5" xfId="2" applyNumberFormat="1" applyFont="1" applyBorder="1" applyAlignment="1">
      <alignment horizontal="right" vertical="top" wrapText="1"/>
    </xf>
    <xf numFmtId="0" fontId="21" fillId="2" borderId="7" xfId="2" applyNumberFormat="1" applyFont="1" applyFill="1" applyBorder="1" applyAlignment="1">
      <alignment vertical="top"/>
    </xf>
    <xf numFmtId="4" fontId="21" fillId="2" borderId="7" xfId="2" applyNumberFormat="1" applyFont="1" applyFill="1" applyBorder="1" applyAlignment="1">
      <alignment horizontal="right" vertical="top" wrapText="1"/>
    </xf>
    <xf numFmtId="0" fontId="21" fillId="2" borderId="7" xfId="2" applyNumberFormat="1" applyFont="1" applyFill="1" applyBorder="1" applyAlignment="1">
      <alignment horizontal="right" vertical="top" wrapText="1"/>
    </xf>
    <xf numFmtId="0" fontId="14" fillId="0" borderId="10" xfId="2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/>
    </xf>
    <xf numFmtId="4" fontId="23" fillId="0" borderId="17" xfId="0" applyNumberFormat="1" applyFont="1" applyBorder="1" applyAlignment="1">
      <alignment horizontal="center" vertical="center"/>
    </xf>
    <xf numFmtId="4" fontId="23" fillId="0" borderId="20" xfId="0" applyNumberFormat="1" applyFont="1" applyBorder="1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0" xfId="1" applyNumberFormat="1" applyFont="1" applyAlignment="1">
      <alignment horizontal="left" wrapText="1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2" borderId="7" xfId="1" applyNumberFormat="1" applyFont="1" applyFill="1" applyBorder="1" applyAlignment="1">
      <alignment horizontal="center" vertical="top"/>
    </xf>
    <xf numFmtId="0" fontId="20" fillId="2" borderId="8" xfId="1" applyNumberFormat="1" applyFont="1" applyFill="1" applyBorder="1" applyAlignment="1">
      <alignment horizontal="center" vertical="top"/>
    </xf>
    <xf numFmtId="0" fontId="20" fillId="2" borderId="9" xfId="1" applyNumberFormat="1" applyFont="1" applyFill="1" applyBorder="1" applyAlignment="1">
      <alignment horizontal="center" vertical="top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0" fillId="2" borderId="8" xfId="2" applyNumberFormat="1" applyFont="1" applyFill="1" applyBorder="1" applyAlignment="1">
      <alignment horizontal="center" vertical="top"/>
    </xf>
    <xf numFmtId="0" fontId="20" fillId="2" borderId="9" xfId="2" applyNumberFormat="1" applyFont="1" applyFill="1" applyBorder="1" applyAlignment="1">
      <alignment horizontal="center" vertical="top"/>
    </xf>
    <xf numFmtId="4" fontId="47" fillId="0" borderId="40" xfId="0" applyNumberFormat="1" applyFont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top"/>
    </xf>
    <xf numFmtId="0" fontId="14" fillId="0" borderId="50" xfId="2" applyNumberFormat="1" applyFont="1" applyBorder="1" applyAlignment="1">
      <alignment horizontal="right" vertical="top" wrapText="1"/>
    </xf>
    <xf numFmtId="4" fontId="14" fillId="0" borderId="11" xfId="2" applyNumberFormat="1" applyFont="1" applyBorder="1" applyAlignment="1">
      <alignment horizontal="right" vertical="top" wrapText="1"/>
    </xf>
    <xf numFmtId="0" fontId="14" fillId="0" borderId="12" xfId="2" applyNumberFormat="1" applyFont="1" applyBorder="1" applyAlignment="1">
      <alignment horizontal="right" vertical="top" wrapText="1"/>
    </xf>
    <xf numFmtId="4" fontId="5" fillId="6" borderId="29" xfId="0" applyNumberFormat="1" applyFont="1" applyFill="1" applyBorder="1" applyAlignment="1">
      <alignment horizontal="right" vertical="center" wrapText="1"/>
    </xf>
    <xf numFmtId="49" fontId="5" fillId="6" borderId="27" xfId="0" applyNumberFormat="1" applyFont="1" applyFill="1" applyBorder="1" applyAlignment="1">
      <alignment vertical="center" wrapText="1"/>
    </xf>
    <xf numFmtId="0" fontId="14" fillId="6" borderId="5" xfId="2" applyNumberFormat="1" applyFont="1" applyFill="1" applyBorder="1" applyAlignment="1">
      <alignment vertical="top" wrapText="1" indent="2"/>
    </xf>
    <xf numFmtId="0" fontId="14" fillId="6" borderId="5" xfId="2" applyNumberFormat="1" applyFont="1" applyFill="1" applyBorder="1" applyAlignment="1">
      <alignment horizontal="right" vertical="top" wrapText="1"/>
    </xf>
    <xf numFmtId="0" fontId="14" fillId="6" borderId="10" xfId="2" applyNumberFormat="1" applyFont="1" applyFill="1" applyBorder="1" applyAlignment="1">
      <alignment horizontal="right" vertical="top" wrapText="1"/>
    </xf>
    <xf numFmtId="4" fontId="14" fillId="6" borderId="51" xfId="2" applyNumberFormat="1" applyFont="1" applyFill="1" applyBorder="1" applyAlignment="1">
      <alignment horizontal="right" vertical="top" wrapText="1"/>
    </xf>
    <xf numFmtId="4" fontId="14" fillId="6" borderId="52" xfId="2" applyNumberFormat="1" applyFont="1" applyFill="1" applyBorder="1" applyAlignment="1">
      <alignment horizontal="right" vertical="top" wrapText="1"/>
    </xf>
    <xf numFmtId="0" fontId="46" fillId="6" borderId="5" xfId="2" applyNumberFormat="1" applyFont="1" applyFill="1" applyBorder="1" applyAlignment="1">
      <alignment vertical="top" wrapText="1" indent="2"/>
    </xf>
    <xf numFmtId="4" fontId="46" fillId="6" borderId="51" xfId="2" applyNumberFormat="1" applyFont="1" applyFill="1" applyBorder="1" applyAlignment="1">
      <alignment horizontal="right" vertical="top" wrapText="1"/>
    </xf>
    <xf numFmtId="4" fontId="46" fillId="6" borderId="52" xfId="2" applyNumberFormat="1" applyFont="1" applyFill="1" applyBorder="1" applyAlignment="1">
      <alignment horizontal="right" vertical="top" wrapText="1"/>
    </xf>
    <xf numFmtId="0" fontId="5" fillId="6" borderId="33" xfId="0" applyFont="1" applyFill="1" applyBorder="1" applyAlignment="1">
      <alignment vertical="center" wrapText="1"/>
    </xf>
    <xf numFmtId="4" fontId="5" fillId="6" borderId="34" xfId="0" applyNumberFormat="1" applyFont="1" applyFill="1" applyBorder="1" applyAlignment="1">
      <alignment horizontal="right" vertical="center" wrapText="1"/>
    </xf>
    <xf numFmtId="4" fontId="14" fillId="6" borderId="5" xfId="2" applyNumberFormat="1" applyFont="1" applyFill="1" applyBorder="1" applyAlignment="1">
      <alignment horizontal="right" vertical="top" wrapText="1"/>
    </xf>
    <xf numFmtId="0" fontId="5" fillId="6" borderId="30" xfId="0" applyFont="1" applyFill="1" applyBorder="1" applyAlignment="1">
      <alignment vertical="center" wrapText="1"/>
    </xf>
    <xf numFmtId="4" fontId="5" fillId="6" borderId="32" xfId="0" applyNumberFormat="1" applyFont="1" applyFill="1" applyBorder="1" applyAlignment="1">
      <alignment horizontal="right" vertical="center" wrapText="1"/>
    </xf>
    <xf numFmtId="3" fontId="5" fillId="6" borderId="34" xfId="0" applyNumberFormat="1" applyFont="1" applyFill="1" applyBorder="1" applyAlignment="1">
      <alignment horizontal="right" vertical="center" wrapText="1"/>
    </xf>
    <xf numFmtId="0" fontId="14" fillId="4" borderId="5" xfId="2" applyNumberFormat="1" applyFont="1" applyFill="1" applyBorder="1" applyAlignment="1">
      <alignment vertical="top" wrapText="1" indent="2"/>
    </xf>
    <xf numFmtId="0" fontId="14" fillId="4" borderId="5" xfId="2" applyNumberFormat="1" applyFont="1" applyFill="1" applyBorder="1" applyAlignment="1">
      <alignment horizontal="right" vertical="top" wrapText="1"/>
    </xf>
    <xf numFmtId="4" fontId="14" fillId="4" borderId="5" xfId="2" applyNumberFormat="1" applyFont="1" applyFill="1" applyBorder="1" applyAlignment="1">
      <alignment horizontal="right" vertical="top" wrapText="1"/>
    </xf>
    <xf numFmtId="0" fontId="5" fillId="4" borderId="30" xfId="0" applyFont="1" applyFill="1" applyBorder="1" applyAlignment="1">
      <alignment vertical="center" wrapText="1"/>
    </xf>
    <xf numFmtId="4" fontId="5" fillId="4" borderId="32" xfId="0" applyNumberFormat="1" applyFont="1" applyFill="1" applyBorder="1" applyAlignment="1">
      <alignment horizontal="right" vertical="center" wrapText="1"/>
    </xf>
    <xf numFmtId="0" fontId="5" fillId="4" borderId="27" xfId="0" applyFont="1" applyFill="1" applyBorder="1" applyAlignment="1">
      <alignment vertical="center" wrapText="1"/>
    </xf>
    <xf numFmtId="4" fontId="5" fillId="4" borderId="29" xfId="0" applyNumberFormat="1" applyFont="1" applyFill="1" applyBorder="1" applyAlignment="1">
      <alignment horizontal="right" vertical="center" wrapText="1"/>
    </xf>
    <xf numFmtId="4" fontId="14" fillId="6" borderId="12" xfId="2" applyNumberFormat="1" applyFont="1" applyFill="1" applyBorder="1" applyAlignment="1">
      <alignment horizontal="right" vertical="top" wrapText="1"/>
    </xf>
    <xf numFmtId="4" fontId="14" fillId="6" borderId="11" xfId="2" applyNumberFormat="1" applyFont="1" applyFill="1" applyBorder="1" applyAlignment="1">
      <alignment horizontal="right" vertical="top" wrapText="1"/>
    </xf>
    <xf numFmtId="0" fontId="4" fillId="4" borderId="47" xfId="0" applyFont="1" applyFill="1" applyBorder="1" applyAlignment="1">
      <alignment vertical="center" wrapText="1"/>
    </xf>
    <xf numFmtId="4" fontId="4" fillId="4" borderId="24" xfId="0" applyNumberFormat="1" applyFont="1" applyFill="1" applyBorder="1" applyAlignment="1">
      <alignment horizontal="center" vertical="center" wrapText="1"/>
    </xf>
    <xf numFmtId="4" fontId="46" fillId="6" borderId="53" xfId="2" applyNumberFormat="1" applyFont="1" applyFill="1" applyBorder="1" applyAlignment="1">
      <alignment horizontal="right" vertical="top" wrapText="1"/>
    </xf>
    <xf numFmtId="4" fontId="46" fillId="6" borderId="54" xfId="2" applyNumberFormat="1" applyFont="1" applyFill="1" applyBorder="1" applyAlignment="1">
      <alignment horizontal="right" vertical="top" wrapText="1"/>
    </xf>
    <xf numFmtId="4" fontId="46" fillId="6" borderId="48" xfId="2" applyNumberFormat="1" applyFont="1" applyFill="1" applyBorder="1" applyAlignment="1">
      <alignment horizontal="right" vertical="top" wrapText="1"/>
    </xf>
    <xf numFmtId="0" fontId="46" fillId="6" borderId="5" xfId="2" applyNumberFormat="1" applyFont="1" applyFill="1" applyBorder="1" applyAlignment="1">
      <alignment horizontal="right" vertical="top" wrapText="1"/>
    </xf>
    <xf numFmtId="0" fontId="46" fillId="6" borderId="10" xfId="2" applyNumberFormat="1" applyFont="1" applyFill="1" applyBorder="1" applyAlignment="1">
      <alignment horizontal="right" vertical="top" wrapText="1"/>
    </xf>
    <xf numFmtId="4" fontId="46" fillId="6" borderId="49" xfId="2" applyNumberFormat="1" applyFont="1" applyFill="1" applyBorder="1" applyAlignment="1">
      <alignment horizontal="right" vertical="top" wrapText="1"/>
    </xf>
    <xf numFmtId="0" fontId="14" fillId="7" borderId="5" xfId="2" applyNumberFormat="1" applyFont="1" applyFill="1" applyBorder="1" applyAlignment="1">
      <alignment vertical="top" wrapText="1" indent="2"/>
    </xf>
    <xf numFmtId="0" fontId="14" fillId="7" borderId="5" xfId="2" applyNumberFormat="1" applyFont="1" applyFill="1" applyBorder="1" applyAlignment="1">
      <alignment horizontal="right" vertical="top" wrapText="1"/>
    </xf>
    <xf numFmtId="4" fontId="14" fillId="7" borderId="11" xfId="2" applyNumberFormat="1" applyFont="1" applyFill="1" applyBorder="1" applyAlignment="1">
      <alignment horizontal="right" vertical="top" wrapText="1"/>
    </xf>
    <xf numFmtId="4" fontId="14" fillId="7" borderId="12" xfId="2" applyNumberFormat="1" applyFont="1" applyFill="1" applyBorder="1" applyAlignment="1">
      <alignment horizontal="right" vertical="top" wrapText="1"/>
    </xf>
    <xf numFmtId="4" fontId="37" fillId="7" borderId="55" xfId="0" applyNumberFormat="1" applyFont="1" applyFill="1" applyBorder="1" applyAlignment="1">
      <alignment horizontal="center" vertical="center"/>
    </xf>
    <xf numFmtId="0" fontId="37" fillId="7" borderId="56" xfId="0" applyFont="1" applyFill="1" applyBorder="1" applyAlignment="1">
      <alignment horizontal="center" vertical="center"/>
    </xf>
    <xf numFmtId="0" fontId="18" fillId="0" borderId="0" xfId="3" applyNumberFormat="1" applyFont="1" applyAlignment="1">
      <alignment wrapText="1"/>
    </xf>
    <xf numFmtId="0" fontId="11" fillId="0" borderId="0" xfId="3"/>
    <xf numFmtId="0" fontId="45" fillId="0" borderId="0" xfId="3" applyNumberFormat="1" applyFont="1" applyAlignment="1">
      <alignment vertical="top" wrapText="1"/>
    </xf>
    <xf numFmtId="0" fontId="19" fillId="2" borderId="7" xfId="3" applyNumberFormat="1" applyFont="1" applyFill="1" applyBorder="1" applyAlignment="1">
      <alignment vertical="top" wrapText="1"/>
    </xf>
    <xf numFmtId="0" fontId="20" fillId="2" borderId="7" xfId="3" applyNumberFormat="1" applyFont="1" applyFill="1" applyBorder="1" applyAlignment="1">
      <alignment horizontal="center" vertical="top"/>
    </xf>
    <xf numFmtId="0" fontId="20" fillId="2" borderId="8" xfId="3" applyNumberFormat="1" applyFont="1" applyFill="1" applyBorder="1" applyAlignment="1">
      <alignment horizontal="center" vertical="top"/>
    </xf>
    <xf numFmtId="0" fontId="20" fillId="2" borderId="9" xfId="3" applyNumberFormat="1" applyFont="1" applyFill="1" applyBorder="1" applyAlignment="1">
      <alignment horizontal="center" vertical="top"/>
    </xf>
    <xf numFmtId="0" fontId="19" fillId="2" borderId="5" xfId="3" applyNumberFormat="1" applyFont="1" applyFill="1" applyBorder="1" applyAlignment="1">
      <alignment vertical="top" wrapText="1"/>
    </xf>
    <xf numFmtId="0" fontId="19" fillId="2" borderId="5" xfId="3" applyNumberFormat="1" applyFont="1" applyFill="1" applyBorder="1" applyAlignment="1">
      <alignment horizontal="right" vertical="top" wrapText="1"/>
    </xf>
    <xf numFmtId="4" fontId="19" fillId="2" borderId="5" xfId="3" applyNumberFormat="1" applyFont="1" applyFill="1" applyBorder="1" applyAlignment="1">
      <alignment horizontal="right" vertical="top" wrapText="1"/>
    </xf>
    <xf numFmtId="0" fontId="20" fillId="2" borderId="5" xfId="3" applyNumberFormat="1" applyFont="1" applyFill="1" applyBorder="1" applyAlignment="1">
      <alignment vertical="top" wrapText="1" indent="1"/>
    </xf>
    <xf numFmtId="0" fontId="20" fillId="2" borderId="5" xfId="3" applyNumberFormat="1" applyFont="1" applyFill="1" applyBorder="1" applyAlignment="1">
      <alignment horizontal="right" vertical="top" wrapText="1"/>
    </xf>
    <xf numFmtId="4" fontId="20" fillId="2" borderId="5" xfId="3" applyNumberFormat="1" applyFont="1" applyFill="1" applyBorder="1" applyAlignment="1">
      <alignment horizontal="right" vertical="top" wrapText="1"/>
    </xf>
    <xf numFmtId="0" fontId="14" fillId="0" borderId="5" xfId="3" applyNumberFormat="1" applyFont="1" applyBorder="1" applyAlignment="1">
      <alignment vertical="top" wrapText="1" indent="2"/>
    </xf>
    <xf numFmtId="0" fontId="14" fillId="0" borderId="5" xfId="3" applyNumberFormat="1" applyFont="1" applyBorder="1" applyAlignment="1">
      <alignment horizontal="right" vertical="top" wrapText="1"/>
    </xf>
    <xf numFmtId="4" fontId="14" fillId="0" borderId="5" xfId="3" applyNumberFormat="1" applyFont="1" applyBorder="1" applyAlignment="1">
      <alignment horizontal="right" vertical="top" wrapText="1"/>
    </xf>
    <xf numFmtId="0" fontId="21" fillId="2" borderId="7" xfId="3" applyNumberFormat="1" applyFont="1" applyFill="1" applyBorder="1" applyAlignment="1">
      <alignment vertical="top"/>
    </xf>
    <xf numFmtId="0" fontId="21" fillId="2" borderId="7" xfId="3" applyNumberFormat="1" applyFont="1" applyFill="1" applyBorder="1" applyAlignment="1">
      <alignment horizontal="right" vertical="top" wrapText="1"/>
    </xf>
    <xf numFmtId="4" fontId="21" fillId="2" borderId="7" xfId="3" applyNumberFormat="1" applyFont="1" applyFill="1" applyBorder="1" applyAlignment="1">
      <alignment horizontal="right" vertical="top" wrapText="1"/>
    </xf>
    <xf numFmtId="0" fontId="44" fillId="0" borderId="0" xfId="3" applyNumberFormat="1" applyFont="1" applyAlignment="1">
      <alignment horizontal="left" wrapText="1"/>
    </xf>
    <xf numFmtId="0" fontId="45" fillId="0" borderId="0" xfId="3" applyNumberFormat="1" applyFont="1" applyAlignment="1">
      <alignment horizontal="center" vertical="top" wrapText="1"/>
    </xf>
    <xf numFmtId="4" fontId="47" fillId="0" borderId="48" xfId="0" applyNumberFormat="1" applyFont="1" applyBorder="1" applyAlignment="1">
      <alignment horizontal="center" vertical="center"/>
    </xf>
    <xf numFmtId="4" fontId="47" fillId="0" borderId="49" xfId="0" applyNumberFormat="1" applyFont="1" applyBorder="1" applyAlignment="1">
      <alignment horizontal="center" vertical="center"/>
    </xf>
    <xf numFmtId="4" fontId="47" fillId="5" borderId="40" xfId="0" applyNumberFormat="1" applyFont="1" applyFill="1" applyBorder="1" applyAlignment="1">
      <alignment horizontal="center"/>
    </xf>
    <xf numFmtId="0" fontId="47" fillId="5" borderId="49" xfId="0" applyFont="1" applyFill="1" applyBorder="1" applyAlignment="1">
      <alignment horizontal="center"/>
    </xf>
    <xf numFmtId="4" fontId="48" fillId="0" borderId="57" xfId="0" applyNumberFormat="1" applyFont="1" applyBorder="1" applyAlignment="1">
      <alignment horizontal="center" vertical="center"/>
    </xf>
    <xf numFmtId="0" fontId="48" fillId="0" borderId="57" xfId="0" applyFont="1" applyBorder="1" applyAlignment="1">
      <alignment horizontal="center" vertical="center"/>
    </xf>
  </cellXfs>
  <cellStyles count="4">
    <cellStyle name="Обычный" xfId="0" builtinId="0"/>
    <cellStyle name="Обычный_26" xfId="3"/>
    <cellStyle name="Обычный_51" xfId="2"/>
    <cellStyle name="Обычный_расшиф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workbookViewId="0">
      <selection activeCell="E5" sqref="E5"/>
    </sheetView>
  </sheetViews>
  <sheetFormatPr defaultRowHeight="15" x14ac:dyDescent="0.25"/>
  <cols>
    <col min="2" max="2" width="47.42578125" customWidth="1"/>
    <col min="3" max="3" width="20.42578125" customWidth="1"/>
    <col min="4" max="4" width="8.28515625" customWidth="1"/>
  </cols>
  <sheetData>
    <row r="1" spans="2:4" ht="23.25" x14ac:dyDescent="0.25">
      <c r="B1" s="10" t="s">
        <v>34</v>
      </c>
    </row>
    <row r="2" spans="2:4" ht="21" thickBot="1" x14ac:dyDescent="0.3">
      <c r="B2" s="11" t="s">
        <v>35</v>
      </c>
    </row>
    <row r="3" spans="2:4" ht="18.75" x14ac:dyDescent="0.25">
      <c r="B3" s="1" t="s">
        <v>0</v>
      </c>
      <c r="C3" s="4"/>
      <c r="D3" s="6"/>
    </row>
    <row r="4" spans="2:4" ht="19.5" customHeight="1" thickBot="1" x14ac:dyDescent="0.3">
      <c r="B4" s="2" t="s">
        <v>1</v>
      </c>
      <c r="C4" s="5" t="s">
        <v>2</v>
      </c>
      <c r="D4" s="6"/>
    </row>
    <row r="5" spans="2:4" ht="28.5" customHeight="1" thickBot="1" x14ac:dyDescent="0.3">
      <c r="B5" s="7" t="s">
        <v>3</v>
      </c>
      <c r="C5" s="5">
        <v>2969.29</v>
      </c>
      <c r="D5" s="3"/>
    </row>
    <row r="6" spans="2:4" ht="25.5" customHeight="1" thickBot="1" x14ac:dyDescent="0.3">
      <c r="B6" s="7" t="s">
        <v>4</v>
      </c>
      <c r="C6" s="145" t="s">
        <v>5</v>
      </c>
      <c r="D6" s="3"/>
    </row>
    <row r="7" spans="2:4" ht="30" customHeight="1" thickBot="1" x14ac:dyDescent="0.3">
      <c r="B7" s="2" t="s">
        <v>6</v>
      </c>
      <c r="C7" s="5">
        <v>11399768.42</v>
      </c>
      <c r="D7" s="3"/>
    </row>
    <row r="8" spans="2:4" ht="26.25" customHeight="1" thickBot="1" x14ac:dyDescent="0.3">
      <c r="B8" s="7" t="s">
        <v>7</v>
      </c>
      <c r="C8" s="8">
        <v>11355553.939999999</v>
      </c>
      <c r="D8" s="3"/>
    </row>
    <row r="9" spans="2:4" ht="26.25" customHeight="1" thickBot="1" x14ac:dyDescent="0.3">
      <c r="B9" s="7" t="s">
        <v>8</v>
      </c>
      <c r="C9" s="8">
        <v>2010.57</v>
      </c>
      <c r="D9" s="3"/>
    </row>
    <row r="10" spans="2:4" ht="24" customHeight="1" thickBot="1" x14ac:dyDescent="0.3">
      <c r="B10" s="7" t="s">
        <v>9</v>
      </c>
      <c r="C10" s="8">
        <v>42203.91</v>
      </c>
      <c r="D10" s="3"/>
    </row>
    <row r="11" spans="2:4" ht="24" customHeight="1" thickBot="1" x14ac:dyDescent="0.3">
      <c r="B11" s="2" t="s">
        <v>10</v>
      </c>
      <c r="C11" s="5">
        <v>11433192.640000001</v>
      </c>
      <c r="D11" s="3"/>
    </row>
    <row r="12" spans="2:4" ht="22.5" customHeight="1" thickBot="1" x14ac:dyDescent="0.3">
      <c r="B12" s="7" t="s">
        <v>11</v>
      </c>
      <c r="C12" s="8">
        <v>665015.21</v>
      </c>
      <c r="D12" s="3"/>
    </row>
    <row r="13" spans="2:4" ht="18" customHeight="1" thickBot="1" x14ac:dyDescent="0.3">
      <c r="B13" s="7" t="s">
        <v>12</v>
      </c>
      <c r="C13" s="8">
        <v>407677.15</v>
      </c>
      <c r="D13" s="3"/>
    </row>
    <row r="14" spans="2:4" ht="23.25" customHeight="1" thickBot="1" x14ac:dyDescent="0.3">
      <c r="B14" s="7" t="s">
        <v>13</v>
      </c>
      <c r="C14" s="8">
        <v>7385000</v>
      </c>
      <c r="D14" s="3"/>
    </row>
    <row r="15" spans="2:4" ht="27" customHeight="1" thickBot="1" x14ac:dyDescent="0.3">
      <c r="B15" s="7" t="s">
        <v>14</v>
      </c>
      <c r="C15" s="8">
        <v>303364.78999999998</v>
      </c>
      <c r="D15" s="3"/>
    </row>
    <row r="16" spans="2:4" ht="26.25" customHeight="1" thickBot="1" x14ac:dyDescent="0.3">
      <c r="B16" s="7" t="s">
        <v>15</v>
      </c>
      <c r="C16" s="8">
        <v>10700</v>
      </c>
      <c r="D16" s="3"/>
    </row>
    <row r="17" spans="2:4" ht="24" customHeight="1" thickBot="1" x14ac:dyDescent="0.3">
      <c r="B17" s="7" t="s">
        <v>16</v>
      </c>
      <c r="C17" s="8">
        <v>197731</v>
      </c>
      <c r="D17" s="3"/>
    </row>
    <row r="18" spans="2:4" ht="24.75" customHeight="1" thickBot="1" x14ac:dyDescent="0.3">
      <c r="B18" s="7" t="s">
        <v>17</v>
      </c>
      <c r="C18" s="5">
        <v>2463704.4900000002</v>
      </c>
      <c r="D18" s="3"/>
    </row>
    <row r="19" spans="2:4" ht="26.25" customHeight="1" thickBot="1" x14ac:dyDescent="0.3">
      <c r="B19" s="7" t="s">
        <v>18</v>
      </c>
      <c r="C19" s="8">
        <v>201743.01</v>
      </c>
      <c r="D19" s="3"/>
    </row>
    <row r="20" spans="2:4" ht="27" customHeight="1" thickBot="1" x14ac:dyDescent="0.3">
      <c r="B20" s="7" t="s">
        <v>19</v>
      </c>
      <c r="C20" s="8">
        <v>2087.19</v>
      </c>
      <c r="D20" s="3"/>
    </row>
    <row r="21" spans="2:4" ht="27" customHeight="1" thickBot="1" x14ac:dyDescent="0.3">
      <c r="B21" s="7" t="s">
        <v>20</v>
      </c>
      <c r="C21" s="8">
        <v>2984.79</v>
      </c>
      <c r="D21" s="3"/>
    </row>
    <row r="22" spans="2:4" ht="22.5" customHeight="1" thickBot="1" x14ac:dyDescent="0.3">
      <c r="B22" s="7" t="s">
        <v>21</v>
      </c>
      <c r="C22" s="8">
        <v>887800</v>
      </c>
      <c r="D22" s="3"/>
    </row>
    <row r="23" spans="2:4" ht="21" customHeight="1" thickBot="1" x14ac:dyDescent="0.3">
      <c r="B23" s="7" t="s">
        <v>22</v>
      </c>
      <c r="C23" s="8">
        <v>351026.11</v>
      </c>
      <c r="D23" s="3"/>
    </row>
    <row r="24" spans="2:4" ht="21.75" customHeight="1" thickBot="1" x14ac:dyDescent="0.3">
      <c r="B24" s="7" t="s">
        <v>23</v>
      </c>
      <c r="C24" s="8">
        <v>639005.81999999995</v>
      </c>
      <c r="D24" s="3"/>
    </row>
    <row r="25" spans="2:4" ht="23.25" customHeight="1" thickBot="1" x14ac:dyDescent="0.3">
      <c r="B25" s="7" t="s">
        <v>24</v>
      </c>
      <c r="C25" s="8">
        <v>45756</v>
      </c>
      <c r="D25" s="3"/>
    </row>
    <row r="26" spans="2:4" ht="21.75" customHeight="1" thickBot="1" x14ac:dyDescent="0.3">
      <c r="B26" s="7" t="s">
        <v>25</v>
      </c>
      <c r="C26" s="8">
        <v>191741.39</v>
      </c>
      <c r="D26" s="3"/>
    </row>
    <row r="27" spans="2:4" ht="21.75" customHeight="1" thickBot="1" x14ac:dyDescent="0.3">
      <c r="B27" s="7" t="s">
        <v>26</v>
      </c>
      <c r="C27" s="8" t="s">
        <v>27</v>
      </c>
      <c r="D27" s="3"/>
    </row>
    <row r="28" spans="2:4" ht="25.5" customHeight="1" thickBot="1" x14ac:dyDescent="0.3">
      <c r="B28" s="7" t="s">
        <v>28</v>
      </c>
      <c r="C28" s="8">
        <v>13200</v>
      </c>
      <c r="D28" s="3"/>
    </row>
    <row r="29" spans="2:4" ht="23.25" customHeight="1" thickBot="1" x14ac:dyDescent="0.3">
      <c r="B29" s="7" t="s">
        <v>29</v>
      </c>
      <c r="C29" s="8">
        <v>8866.31</v>
      </c>
      <c r="D29" s="3"/>
    </row>
    <row r="30" spans="2:4" ht="21.75" customHeight="1" thickBot="1" x14ac:dyDescent="0.3">
      <c r="B30" s="7" t="s">
        <v>30</v>
      </c>
      <c r="C30" s="8" t="s">
        <v>31</v>
      </c>
      <c r="D30" s="3"/>
    </row>
    <row r="31" spans="2:4" ht="24" customHeight="1" thickBot="1" x14ac:dyDescent="0.3">
      <c r="B31" s="7" t="s">
        <v>32</v>
      </c>
      <c r="C31" s="5">
        <v>2188.36</v>
      </c>
      <c r="D31" s="3"/>
    </row>
    <row r="32" spans="2:4" ht="28.5" customHeight="1" thickBot="1" x14ac:dyDescent="0.3">
      <c r="B32" s="7" t="s">
        <v>33</v>
      </c>
      <c r="C32" s="5">
        <v>7889.23</v>
      </c>
      <c r="D32" s="3"/>
    </row>
    <row r="33" spans="2:2" ht="15.75" x14ac:dyDescent="0.25">
      <c r="B33" s="9"/>
    </row>
    <row r="34" spans="2:2" ht="15.75" x14ac:dyDescent="0.25">
      <c r="B34" s="9"/>
    </row>
    <row r="35" spans="2:2" ht="15.75" x14ac:dyDescent="0.25">
      <c r="B35" s="9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workbookViewId="0">
      <selection activeCell="C14" sqref="C14"/>
    </sheetView>
  </sheetViews>
  <sheetFormatPr defaultRowHeight="15" x14ac:dyDescent="0.25"/>
  <cols>
    <col min="1" max="1" width="3.28515625" customWidth="1"/>
    <col min="2" max="2" width="8.28515625" customWidth="1"/>
    <col min="3" max="3" width="57" customWidth="1"/>
    <col min="4" max="4" width="20.42578125" customWidth="1"/>
  </cols>
  <sheetData>
    <row r="1" spans="2:10" ht="30.75" customHeight="1" x14ac:dyDescent="0.25">
      <c r="B1" s="99" t="s">
        <v>187</v>
      </c>
    </row>
    <row r="2" spans="2:10" ht="21" customHeight="1" x14ac:dyDescent="0.25">
      <c r="B2" s="100"/>
      <c r="C2" s="127" t="s">
        <v>188</v>
      </c>
    </row>
    <row r="3" spans="2:10" ht="15.75" thickBot="1" x14ac:dyDescent="0.3"/>
    <row r="4" spans="2:10" s="62" customFormat="1" ht="20.100000000000001" customHeight="1" thickBot="1" x14ac:dyDescent="0.3">
      <c r="B4" s="128" t="s">
        <v>170</v>
      </c>
      <c r="C4" s="129" t="s">
        <v>171</v>
      </c>
      <c r="D4" s="129" t="s">
        <v>172</v>
      </c>
    </row>
    <row r="5" spans="2:10" ht="20.100000000000001" customHeight="1" x14ac:dyDescent="0.25">
      <c r="B5" s="230" t="s">
        <v>173</v>
      </c>
      <c r="C5" s="231"/>
      <c r="D5" s="232"/>
    </row>
    <row r="6" spans="2:10" s="62" customFormat="1" ht="20.100000000000001" customHeight="1" x14ac:dyDescent="0.25">
      <c r="B6" s="93">
        <v>1</v>
      </c>
      <c r="C6" s="122" t="s">
        <v>174</v>
      </c>
      <c r="D6" s="123">
        <f>20700*1.272</f>
        <v>26330.400000000001</v>
      </c>
      <c r="E6" s="104"/>
    </row>
    <row r="7" spans="2:10" s="62" customFormat="1" ht="20.100000000000001" customHeight="1" x14ac:dyDescent="0.25">
      <c r="B7" s="93">
        <v>2</v>
      </c>
      <c r="C7" s="122" t="s">
        <v>175</v>
      </c>
      <c r="D7" s="123">
        <f>52900*1.272</f>
        <v>67288.800000000003</v>
      </c>
      <c r="H7" s="104"/>
      <c r="I7" s="104"/>
      <c r="J7" s="104"/>
    </row>
    <row r="8" spans="2:10" s="62" customFormat="1" ht="20.100000000000001" customHeight="1" x14ac:dyDescent="0.25">
      <c r="B8" s="93">
        <v>3</v>
      </c>
      <c r="C8" s="122" t="s">
        <v>176</v>
      </c>
      <c r="D8" s="123">
        <f>43700*1.272</f>
        <v>55586.400000000001</v>
      </c>
      <c r="H8" s="104"/>
    </row>
    <row r="9" spans="2:10" s="62" customFormat="1" ht="20.100000000000001" customHeight="1" x14ac:dyDescent="0.25">
      <c r="B9" s="93">
        <v>4</v>
      </c>
      <c r="C9" s="122" t="s">
        <v>190</v>
      </c>
      <c r="D9" s="123">
        <f>29325*1.272</f>
        <v>37301.4</v>
      </c>
    </row>
    <row r="10" spans="2:10" s="62" customFormat="1" ht="20.100000000000001" customHeight="1" x14ac:dyDescent="0.25">
      <c r="B10" s="93">
        <v>5</v>
      </c>
      <c r="C10" s="122" t="s">
        <v>191</v>
      </c>
      <c r="D10" s="123">
        <f>2300*1.272</f>
        <v>2925.6</v>
      </c>
    </row>
    <row r="11" spans="2:10" s="62" customFormat="1" ht="20.100000000000001" customHeight="1" x14ac:dyDescent="0.25">
      <c r="B11" s="93">
        <v>6</v>
      </c>
      <c r="C11" s="122" t="s">
        <v>189</v>
      </c>
      <c r="D11" s="123">
        <f>9000*1.272</f>
        <v>11448</v>
      </c>
      <c r="H11" s="104"/>
      <c r="I11" s="104"/>
    </row>
    <row r="12" spans="2:10" s="62" customFormat="1" ht="20.100000000000001" customHeight="1" x14ac:dyDescent="0.25">
      <c r="B12" s="93">
        <v>7</v>
      </c>
      <c r="C12" s="122" t="s">
        <v>218</v>
      </c>
      <c r="D12" s="124">
        <v>26539</v>
      </c>
      <c r="H12" s="104"/>
      <c r="I12" s="104"/>
    </row>
    <row r="13" spans="2:10" s="62" customFormat="1" ht="20.100000000000001" customHeight="1" x14ac:dyDescent="0.25">
      <c r="B13" s="93">
        <v>8</v>
      </c>
      <c r="C13" s="122" t="s">
        <v>212</v>
      </c>
      <c r="D13" s="115">
        <v>5400</v>
      </c>
    </row>
    <row r="14" spans="2:10" s="62" customFormat="1" ht="20.100000000000001" customHeight="1" x14ac:dyDescent="0.25">
      <c r="B14" s="93">
        <v>9</v>
      </c>
      <c r="C14" s="122" t="s">
        <v>219</v>
      </c>
      <c r="D14" s="115">
        <v>18300</v>
      </c>
    </row>
    <row r="15" spans="2:10" s="62" customFormat="1" ht="20.100000000000001" customHeight="1" x14ac:dyDescent="0.25">
      <c r="B15" s="93">
        <v>10</v>
      </c>
      <c r="C15" s="122" t="s">
        <v>195</v>
      </c>
      <c r="D15" s="115">
        <f>15910+23040+7600</f>
        <v>46550</v>
      </c>
    </row>
    <row r="16" spans="2:10" s="62" customFormat="1" ht="20.100000000000001" customHeight="1" x14ac:dyDescent="0.25">
      <c r="B16" s="93"/>
      <c r="C16" s="122" t="s">
        <v>160</v>
      </c>
      <c r="D16" s="125">
        <f>SUM(D6:D15)</f>
        <v>297669.59999999998</v>
      </c>
    </row>
    <row r="17" spans="2:9" ht="20.100000000000001" customHeight="1" x14ac:dyDescent="0.25">
      <c r="B17" s="233" t="s">
        <v>177</v>
      </c>
      <c r="C17" s="234"/>
      <c r="D17" s="235"/>
    </row>
    <row r="18" spans="2:9" ht="20.100000000000001" customHeight="1" x14ac:dyDescent="0.25">
      <c r="B18" s="93">
        <v>1</v>
      </c>
      <c r="C18" s="122" t="s">
        <v>176</v>
      </c>
      <c r="D18" s="123">
        <f>13225*1.272</f>
        <v>16822.2</v>
      </c>
    </row>
    <row r="19" spans="2:9" s="62" customFormat="1" ht="20.100000000000001" customHeight="1" x14ac:dyDescent="0.25">
      <c r="B19" s="93">
        <v>2</v>
      </c>
      <c r="C19" s="122" t="s">
        <v>189</v>
      </c>
      <c r="D19" s="123">
        <f>9000*1.272</f>
        <v>11448</v>
      </c>
      <c r="H19" s="104"/>
      <c r="I19" s="104"/>
    </row>
    <row r="20" spans="2:9" ht="19.5" customHeight="1" x14ac:dyDescent="0.25">
      <c r="B20" s="93">
        <v>3</v>
      </c>
      <c r="C20" s="122" t="s">
        <v>179</v>
      </c>
      <c r="D20" s="123">
        <f>35246*1.272</f>
        <v>44832.912000000004</v>
      </c>
    </row>
    <row r="21" spans="2:9" ht="20.100000000000001" customHeight="1" x14ac:dyDescent="0.25">
      <c r="B21" s="93">
        <v>4</v>
      </c>
      <c r="C21" s="122" t="s">
        <v>190</v>
      </c>
      <c r="D21" s="123">
        <f>29325*1.272</f>
        <v>37301.4</v>
      </c>
    </row>
    <row r="22" spans="2:9" ht="20.100000000000001" customHeight="1" x14ac:dyDescent="0.25">
      <c r="B22" s="93">
        <v>5</v>
      </c>
      <c r="C22" s="122" t="s">
        <v>218</v>
      </c>
      <c r="D22" s="124">
        <v>40597</v>
      </c>
    </row>
    <row r="23" spans="2:9" ht="20.100000000000001" customHeight="1" x14ac:dyDescent="0.25">
      <c r="B23" s="93">
        <v>6</v>
      </c>
      <c r="C23" s="122" t="s">
        <v>220</v>
      </c>
      <c r="D23" s="115">
        <v>5560</v>
      </c>
    </row>
    <row r="24" spans="2:9" ht="20.100000000000001" customHeight="1" x14ac:dyDescent="0.25">
      <c r="B24" s="93">
        <v>7</v>
      </c>
      <c r="C24" s="122" t="s">
        <v>212</v>
      </c>
      <c r="D24" s="115">
        <v>38500</v>
      </c>
    </row>
    <row r="25" spans="2:9" ht="20.100000000000001" customHeight="1" x14ac:dyDescent="0.25">
      <c r="B25" s="93">
        <v>8</v>
      </c>
      <c r="C25" s="122" t="s">
        <v>195</v>
      </c>
      <c r="D25" s="115">
        <f>19450+7600</f>
        <v>27050</v>
      </c>
    </row>
    <row r="26" spans="2:9" ht="20.100000000000001" customHeight="1" x14ac:dyDescent="0.25">
      <c r="B26" s="93"/>
      <c r="C26" s="122" t="s">
        <v>160</v>
      </c>
      <c r="D26" s="125">
        <f>SUM(D18:D25)</f>
        <v>222111.51200000002</v>
      </c>
    </row>
    <row r="27" spans="2:9" ht="20.100000000000001" customHeight="1" x14ac:dyDescent="0.25">
      <c r="B27" s="233" t="s">
        <v>181</v>
      </c>
      <c r="C27" s="234"/>
      <c r="D27" s="235"/>
    </row>
    <row r="28" spans="2:9" ht="20.100000000000001" customHeight="1" x14ac:dyDescent="0.25">
      <c r="B28" s="93">
        <v>1</v>
      </c>
      <c r="C28" s="122" t="s">
        <v>190</v>
      </c>
      <c r="D28" s="119">
        <f>575*1.272</f>
        <v>731.4</v>
      </c>
    </row>
    <row r="29" spans="2:9" s="62" customFormat="1" ht="20.100000000000001" customHeight="1" x14ac:dyDescent="0.25">
      <c r="B29" s="93">
        <v>2</v>
      </c>
      <c r="C29" s="122" t="s">
        <v>189</v>
      </c>
      <c r="D29" s="123">
        <f>9000*1.272</f>
        <v>11448</v>
      </c>
      <c r="H29" s="104"/>
    </row>
    <row r="30" spans="2:9" ht="20.100000000000001" customHeight="1" x14ac:dyDescent="0.25">
      <c r="B30" s="93">
        <v>3</v>
      </c>
      <c r="C30" s="122" t="s">
        <v>218</v>
      </c>
      <c r="D30" s="124">
        <v>30547</v>
      </c>
    </row>
    <row r="31" spans="2:9" ht="20.100000000000001" customHeight="1" x14ac:dyDescent="0.25">
      <c r="B31" s="93">
        <v>4</v>
      </c>
      <c r="C31" s="122" t="s">
        <v>220</v>
      </c>
      <c r="D31" s="115">
        <v>11120</v>
      </c>
    </row>
    <row r="32" spans="2:9" ht="20.100000000000001" customHeight="1" x14ac:dyDescent="0.25">
      <c r="B32" s="93"/>
      <c r="C32" s="122" t="s">
        <v>160</v>
      </c>
      <c r="D32" s="140">
        <f>SUM(D28:D31)</f>
        <v>53846.400000000001</v>
      </c>
    </row>
    <row r="33" spans="2:8" ht="20.100000000000001" customHeight="1" x14ac:dyDescent="0.25">
      <c r="B33" s="233" t="s">
        <v>184</v>
      </c>
      <c r="C33" s="234"/>
      <c r="D33" s="235"/>
    </row>
    <row r="34" spans="2:8" ht="20.100000000000001" customHeight="1" x14ac:dyDescent="0.25">
      <c r="B34" s="93">
        <v>1</v>
      </c>
      <c r="C34" s="122" t="s">
        <v>195</v>
      </c>
      <c r="D34" s="115">
        <f>2450+54950</f>
        <v>57400</v>
      </c>
    </row>
    <row r="35" spans="2:8" ht="20.100000000000001" customHeight="1" x14ac:dyDescent="0.25">
      <c r="B35" s="93">
        <v>2</v>
      </c>
      <c r="C35" s="122" t="s">
        <v>220</v>
      </c>
      <c r="D35" s="115">
        <v>11120</v>
      </c>
    </row>
    <row r="36" spans="2:8" ht="20.100000000000001" customHeight="1" x14ac:dyDescent="0.25">
      <c r="B36" s="93">
        <v>3</v>
      </c>
      <c r="C36" s="122" t="s">
        <v>218</v>
      </c>
      <c r="D36" s="124">
        <v>30405</v>
      </c>
    </row>
    <row r="37" spans="2:8" s="62" customFormat="1" ht="20.100000000000001" customHeight="1" x14ac:dyDescent="0.25">
      <c r="B37" s="93">
        <v>4</v>
      </c>
      <c r="C37" s="122" t="s">
        <v>189</v>
      </c>
      <c r="D37" s="123">
        <f>9000*1.272</f>
        <v>11448</v>
      </c>
      <c r="H37" s="104"/>
    </row>
    <row r="38" spans="2:8" ht="20.100000000000001" customHeight="1" x14ac:dyDescent="0.25">
      <c r="B38" s="93"/>
      <c r="C38" s="122" t="s">
        <v>160</v>
      </c>
      <c r="D38" s="126">
        <f>SUM(D34:D37)</f>
        <v>110373</v>
      </c>
    </row>
    <row r="39" spans="2:8" ht="20.100000000000001" customHeight="1" thickBot="1" x14ac:dyDescent="0.3">
      <c r="B39" s="130"/>
      <c r="C39" s="131"/>
      <c r="D39" s="131"/>
    </row>
    <row r="40" spans="2:8" ht="20.100000000000001" customHeight="1" thickBot="1" x14ac:dyDescent="0.3">
      <c r="B40" s="132"/>
      <c r="C40" s="133" t="s">
        <v>186</v>
      </c>
      <c r="D40" s="134">
        <f>D16+D26+D32+D38</f>
        <v>684000.51199999999</v>
      </c>
    </row>
  </sheetData>
  <mergeCells count="4">
    <mergeCell ref="B5:D5"/>
    <mergeCell ref="B17:D17"/>
    <mergeCell ref="B27:D27"/>
    <mergeCell ref="B33:D33"/>
  </mergeCells>
  <pageMargins left="0.70866141732283472" right="0.31496062992125984" top="0.15748031496062992" bottom="0.15748031496062992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workbookViewId="0">
      <selection activeCell="H36" sqref="E36:H36"/>
    </sheetView>
  </sheetViews>
  <sheetFormatPr defaultRowHeight="15" x14ac:dyDescent="0.25"/>
  <cols>
    <col min="1" max="1" width="3.28515625" customWidth="1"/>
    <col min="2" max="2" width="8.28515625" customWidth="1"/>
    <col min="3" max="3" width="41.7109375" customWidth="1"/>
    <col min="4" max="4" width="20.42578125" customWidth="1"/>
  </cols>
  <sheetData>
    <row r="1" spans="2:10" ht="30.75" customHeight="1" x14ac:dyDescent="0.25">
      <c r="B1" s="99" t="s">
        <v>187</v>
      </c>
    </row>
    <row r="2" spans="2:10" ht="21" customHeight="1" x14ac:dyDescent="0.25">
      <c r="B2" s="100"/>
      <c r="C2" s="101" t="s">
        <v>188</v>
      </c>
    </row>
    <row r="3" spans="2:10" ht="15.75" thickBot="1" x14ac:dyDescent="0.3"/>
    <row r="4" spans="2:10" s="62" customFormat="1" ht="15" customHeight="1" x14ac:dyDescent="0.25">
      <c r="B4" s="102" t="s">
        <v>170</v>
      </c>
      <c r="C4" s="103" t="s">
        <v>171</v>
      </c>
      <c r="D4" s="103" t="s">
        <v>172</v>
      </c>
    </row>
    <row r="5" spans="2:10" ht="15" customHeight="1" x14ac:dyDescent="0.25">
      <c r="B5" s="236" t="s">
        <v>173</v>
      </c>
      <c r="C5" s="236"/>
      <c r="D5" s="236"/>
    </row>
    <row r="6" spans="2:10" s="62" customFormat="1" ht="15" customHeight="1" x14ac:dyDescent="0.25">
      <c r="B6" s="95"/>
      <c r="C6" s="96"/>
      <c r="D6" s="95"/>
    </row>
    <row r="7" spans="2:10" s="62" customFormat="1" ht="15" customHeight="1" x14ac:dyDescent="0.25">
      <c r="B7" s="95">
        <v>1</v>
      </c>
      <c r="C7" s="96" t="s">
        <v>174</v>
      </c>
      <c r="D7" s="95">
        <v>20528.39</v>
      </c>
      <c r="E7" s="104">
        <v>3450</v>
      </c>
    </row>
    <row r="8" spans="2:10" s="62" customFormat="1" ht="15" customHeight="1" x14ac:dyDescent="0.25">
      <c r="B8" s="95">
        <v>2</v>
      </c>
      <c r="C8" s="96" t="s">
        <v>175</v>
      </c>
      <c r="D8" s="95">
        <v>57739.45</v>
      </c>
      <c r="E8" s="62">
        <v>6900</v>
      </c>
      <c r="F8" s="62">
        <v>5750</v>
      </c>
      <c r="G8" s="62">
        <v>2300</v>
      </c>
      <c r="H8" s="104">
        <v>17250</v>
      </c>
      <c r="I8" s="104">
        <v>13800</v>
      </c>
      <c r="J8" s="104">
        <v>6900</v>
      </c>
    </row>
    <row r="9" spans="2:10" s="62" customFormat="1" ht="15" customHeight="1" x14ac:dyDescent="0.25">
      <c r="B9" s="95">
        <v>3</v>
      </c>
      <c r="C9" s="96" t="s">
        <v>176</v>
      </c>
      <c r="D9" s="95"/>
      <c r="E9" s="62">
        <v>17250</v>
      </c>
      <c r="F9" s="62">
        <v>17250</v>
      </c>
      <c r="G9" s="62">
        <v>9200</v>
      </c>
      <c r="H9" s="104">
        <v>17250</v>
      </c>
    </row>
    <row r="10" spans="2:10" s="62" customFormat="1" ht="15" customHeight="1" x14ac:dyDescent="0.25">
      <c r="B10" s="95">
        <v>4</v>
      </c>
      <c r="C10" s="96" t="s">
        <v>190</v>
      </c>
      <c r="D10" s="95">
        <v>36650.25</v>
      </c>
      <c r="E10" s="62">
        <v>23000</v>
      </c>
      <c r="F10" s="62">
        <v>5750</v>
      </c>
      <c r="G10" s="62">
        <v>575</v>
      </c>
    </row>
    <row r="11" spans="2:10" s="62" customFormat="1" ht="15" customHeight="1" x14ac:dyDescent="0.25">
      <c r="B11" s="95"/>
      <c r="C11" s="96" t="s">
        <v>191</v>
      </c>
      <c r="D11" s="95"/>
      <c r="E11" s="62">
        <v>2300</v>
      </c>
    </row>
    <row r="12" spans="2:10" s="62" customFormat="1" ht="15" customHeight="1" x14ac:dyDescent="0.25">
      <c r="B12" s="95"/>
      <c r="C12" s="96" t="s">
        <v>189</v>
      </c>
      <c r="D12" s="95">
        <v>1500</v>
      </c>
      <c r="E12" s="62">
        <v>1500</v>
      </c>
      <c r="F12" s="62">
        <v>1500</v>
      </c>
      <c r="G12" s="62">
        <v>1500</v>
      </c>
      <c r="H12" s="104">
        <v>3000</v>
      </c>
      <c r="I12" s="104">
        <v>1500</v>
      </c>
    </row>
    <row r="13" spans="2:10" s="62" customFormat="1" ht="15" customHeight="1" x14ac:dyDescent="0.25">
      <c r="B13" s="95"/>
      <c r="C13" s="96" t="s">
        <v>160</v>
      </c>
      <c r="D13" s="95">
        <v>114918.09</v>
      </c>
    </row>
    <row r="14" spans="2:10" ht="15" customHeight="1" x14ac:dyDescent="0.25">
      <c r="B14" s="236" t="s">
        <v>177</v>
      </c>
      <c r="C14" s="236"/>
      <c r="D14" s="236"/>
    </row>
    <row r="15" spans="2:10" ht="15" customHeight="1" x14ac:dyDescent="0.25">
      <c r="B15" s="95"/>
      <c r="C15" s="96"/>
      <c r="D15" s="95"/>
    </row>
    <row r="16" spans="2:10" ht="15" customHeight="1" x14ac:dyDescent="0.25">
      <c r="B16" s="95">
        <v>1</v>
      </c>
      <c r="C16" s="96" t="s">
        <v>176</v>
      </c>
      <c r="D16" s="95">
        <v>17486.68</v>
      </c>
      <c r="E16">
        <v>4600</v>
      </c>
      <c r="F16">
        <v>8625</v>
      </c>
    </row>
    <row r="17" spans="2:11" s="62" customFormat="1" ht="15" customHeight="1" x14ac:dyDescent="0.25">
      <c r="B17" s="95"/>
      <c r="C17" s="96" t="s">
        <v>189</v>
      </c>
      <c r="D17" s="95">
        <v>1500</v>
      </c>
      <c r="E17" s="62">
        <v>1500</v>
      </c>
      <c r="F17" s="62">
        <v>1500</v>
      </c>
      <c r="G17" s="62">
        <v>1500</v>
      </c>
      <c r="H17" s="104">
        <v>3000</v>
      </c>
      <c r="I17" s="104">
        <v>1500</v>
      </c>
    </row>
    <row r="18" spans="2:11" ht="15" customHeight="1" x14ac:dyDescent="0.25">
      <c r="B18" s="95">
        <v>2</v>
      </c>
      <c r="C18" s="96" t="s">
        <v>178</v>
      </c>
      <c r="D18" s="95"/>
    </row>
    <row r="19" spans="2:11" ht="15" customHeight="1" x14ac:dyDescent="0.25">
      <c r="B19" s="95">
        <v>3</v>
      </c>
      <c r="C19" s="96" t="s">
        <v>179</v>
      </c>
      <c r="D19" s="95">
        <v>22929.33</v>
      </c>
      <c r="E19">
        <v>1725</v>
      </c>
      <c r="F19">
        <v>1150</v>
      </c>
      <c r="G19">
        <v>2300</v>
      </c>
      <c r="H19">
        <v>6900</v>
      </c>
      <c r="I19">
        <v>4600</v>
      </c>
      <c r="J19">
        <v>17421</v>
      </c>
      <c r="K19">
        <v>1150</v>
      </c>
    </row>
    <row r="20" spans="2:11" ht="15" customHeight="1" x14ac:dyDescent="0.25">
      <c r="B20" s="95">
        <v>4</v>
      </c>
      <c r="C20" s="96" t="s">
        <v>190</v>
      </c>
      <c r="D20" s="95">
        <v>36541.25</v>
      </c>
      <c r="E20">
        <v>23000</v>
      </c>
      <c r="F20">
        <v>5750</v>
      </c>
      <c r="G20">
        <v>575</v>
      </c>
    </row>
    <row r="21" spans="2:11" ht="15" customHeight="1" x14ac:dyDescent="0.25">
      <c r="B21" s="95">
        <v>5</v>
      </c>
      <c r="C21" s="96" t="s">
        <v>180</v>
      </c>
      <c r="D21" s="95"/>
    </row>
    <row r="22" spans="2:11" ht="15" customHeight="1" x14ac:dyDescent="0.25">
      <c r="B22" s="95"/>
      <c r="C22" s="96" t="s">
        <v>160</v>
      </c>
      <c r="D22" s="97">
        <v>76957.259999999995</v>
      </c>
    </row>
    <row r="23" spans="2:11" ht="15" customHeight="1" x14ac:dyDescent="0.25">
      <c r="B23" s="236" t="s">
        <v>181</v>
      </c>
      <c r="C23" s="236"/>
      <c r="D23" s="236"/>
    </row>
    <row r="24" spans="2:11" ht="15" customHeight="1" x14ac:dyDescent="0.25">
      <c r="B24" s="95"/>
      <c r="C24" s="96"/>
      <c r="D24" s="95"/>
    </row>
    <row r="25" spans="2:11" ht="15" customHeight="1" x14ac:dyDescent="0.25">
      <c r="B25" s="95">
        <v>1</v>
      </c>
      <c r="C25" s="96" t="s">
        <v>182</v>
      </c>
      <c r="D25" s="95"/>
    </row>
    <row r="26" spans="2:11" ht="15" customHeight="1" x14ac:dyDescent="0.25">
      <c r="B26" s="95">
        <v>2</v>
      </c>
      <c r="C26" s="96" t="s">
        <v>176</v>
      </c>
      <c r="D26" s="95"/>
    </row>
    <row r="27" spans="2:11" ht="15" customHeight="1" x14ac:dyDescent="0.25">
      <c r="B27" s="95">
        <v>3</v>
      </c>
      <c r="C27" s="96" t="s">
        <v>190</v>
      </c>
      <c r="D27" s="95"/>
      <c r="E27">
        <v>575</v>
      </c>
    </row>
    <row r="28" spans="2:11" ht="15" customHeight="1" x14ac:dyDescent="0.25">
      <c r="B28" s="95">
        <v>4</v>
      </c>
      <c r="C28" s="96" t="s">
        <v>183</v>
      </c>
      <c r="D28" s="95"/>
    </row>
    <row r="29" spans="2:11" s="62" customFormat="1" ht="15" customHeight="1" x14ac:dyDescent="0.25">
      <c r="B29" s="95"/>
      <c r="C29" s="96" t="s">
        <v>189</v>
      </c>
      <c r="D29" s="95">
        <v>1500</v>
      </c>
      <c r="E29" s="62">
        <v>1500</v>
      </c>
      <c r="F29" s="62">
        <v>1500</v>
      </c>
      <c r="G29" s="62">
        <v>3000</v>
      </c>
      <c r="H29" s="104">
        <v>3000</v>
      </c>
    </row>
    <row r="30" spans="2:11" ht="15" customHeight="1" x14ac:dyDescent="0.25">
      <c r="B30" s="95"/>
      <c r="C30" s="96" t="s">
        <v>160</v>
      </c>
      <c r="D30" s="97"/>
    </row>
    <row r="31" spans="2:11" ht="15" customHeight="1" x14ac:dyDescent="0.25">
      <c r="B31" s="236" t="s">
        <v>184</v>
      </c>
      <c r="C31" s="236"/>
      <c r="D31" s="236"/>
    </row>
    <row r="32" spans="2:11" ht="15" customHeight="1" x14ac:dyDescent="0.25">
      <c r="B32" s="95"/>
      <c r="C32" s="96"/>
      <c r="D32" s="95"/>
    </row>
    <row r="33" spans="2:8" ht="15" customHeight="1" x14ac:dyDescent="0.25">
      <c r="B33" s="95">
        <v>1</v>
      </c>
      <c r="C33" s="96" t="s">
        <v>185</v>
      </c>
      <c r="D33" s="95">
        <v>575</v>
      </c>
    </row>
    <row r="34" spans="2:8" ht="15" customHeight="1" x14ac:dyDescent="0.25">
      <c r="B34" s="95">
        <v>2</v>
      </c>
      <c r="C34" s="96" t="s">
        <v>176</v>
      </c>
      <c r="D34" s="95"/>
    </row>
    <row r="35" spans="2:8" ht="15" customHeight="1" x14ac:dyDescent="0.25">
      <c r="B35" s="95">
        <v>3</v>
      </c>
      <c r="C35" s="96" t="s">
        <v>183</v>
      </c>
      <c r="D35" s="95"/>
    </row>
    <row r="36" spans="2:8" s="62" customFormat="1" ht="15" customHeight="1" x14ac:dyDescent="0.25">
      <c r="B36" s="95"/>
      <c r="C36" s="96" t="s">
        <v>189</v>
      </c>
      <c r="D36" s="95">
        <v>1500</v>
      </c>
      <c r="E36" s="62">
        <v>1500</v>
      </c>
      <c r="F36" s="62">
        <v>1500</v>
      </c>
      <c r="G36" s="62">
        <v>3000</v>
      </c>
      <c r="H36" s="104">
        <v>3000</v>
      </c>
    </row>
    <row r="37" spans="2:8" ht="15" customHeight="1" x14ac:dyDescent="0.25">
      <c r="B37" s="95"/>
      <c r="C37" s="96" t="s">
        <v>160</v>
      </c>
      <c r="D37" s="97">
        <v>575</v>
      </c>
    </row>
    <row r="38" spans="2:8" ht="15" customHeight="1" x14ac:dyDescent="0.25">
      <c r="B38" s="95"/>
      <c r="C38" s="97"/>
      <c r="D38" s="97"/>
    </row>
    <row r="39" spans="2:8" ht="15" customHeight="1" x14ac:dyDescent="0.25">
      <c r="B39" s="97"/>
      <c r="C39" s="98" t="s">
        <v>186</v>
      </c>
      <c r="D39" s="97">
        <v>192450.35</v>
      </c>
    </row>
  </sheetData>
  <mergeCells count="4">
    <mergeCell ref="B5:D5"/>
    <mergeCell ref="B14:D14"/>
    <mergeCell ref="B23:D23"/>
    <mergeCell ref="B31:D3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opLeftCell="A31" workbookViewId="0">
      <selection activeCell="A36" sqref="A36"/>
    </sheetView>
  </sheetViews>
  <sheetFormatPr defaultRowHeight="18.75" x14ac:dyDescent="0.3"/>
  <cols>
    <col min="1" max="1" width="19" style="177" customWidth="1"/>
    <col min="2" max="2" width="93.42578125" customWidth="1"/>
  </cols>
  <sheetData>
    <row r="1" spans="1:2" ht="20.25" x14ac:dyDescent="0.3">
      <c r="B1" s="99" t="s">
        <v>187</v>
      </c>
    </row>
    <row r="2" spans="1:2" ht="25.5" customHeight="1" x14ac:dyDescent="0.3">
      <c r="B2" s="127" t="s">
        <v>188</v>
      </c>
    </row>
    <row r="4" spans="1:2" x14ac:dyDescent="0.3">
      <c r="A4" s="188" t="s">
        <v>264</v>
      </c>
      <c r="B4" s="95" t="s">
        <v>171</v>
      </c>
    </row>
    <row r="5" spans="1:2" ht="82.5" customHeight="1" x14ac:dyDescent="0.3">
      <c r="A5" s="179" t="s">
        <v>258</v>
      </c>
      <c r="B5" s="122" t="s">
        <v>259</v>
      </c>
    </row>
    <row r="6" spans="1:2" ht="78.75" customHeight="1" x14ac:dyDescent="0.3">
      <c r="A6" s="180"/>
      <c r="B6" s="178" t="s">
        <v>260</v>
      </c>
    </row>
    <row r="7" spans="1:2" ht="78" customHeight="1" x14ac:dyDescent="0.3">
      <c r="A7" s="180"/>
      <c r="B7" s="178" t="s">
        <v>261</v>
      </c>
    </row>
    <row r="8" spans="1:2" ht="62.25" customHeight="1" x14ac:dyDescent="0.3">
      <c r="A8" s="180"/>
      <c r="B8" s="178" t="s">
        <v>262</v>
      </c>
    </row>
    <row r="9" spans="1:2" ht="64.5" customHeight="1" x14ac:dyDescent="0.3">
      <c r="A9" s="181"/>
      <c r="B9" s="122" t="s">
        <v>263</v>
      </c>
    </row>
    <row r="10" spans="1:2" ht="47.25" customHeight="1" x14ac:dyDescent="0.3">
      <c r="A10" s="179" t="s">
        <v>247</v>
      </c>
      <c r="B10" s="182" t="s">
        <v>252</v>
      </c>
    </row>
    <row r="11" spans="1:2" ht="71.25" customHeight="1" x14ac:dyDescent="0.3">
      <c r="A11" s="180"/>
      <c r="B11" s="122" t="s">
        <v>257</v>
      </c>
    </row>
    <row r="12" spans="1:2" ht="78" customHeight="1" x14ac:dyDescent="0.3">
      <c r="A12" s="180"/>
      <c r="B12" s="178" t="s">
        <v>253</v>
      </c>
    </row>
    <row r="13" spans="1:2" ht="71.25" customHeight="1" x14ac:dyDescent="0.3">
      <c r="A13" s="180"/>
      <c r="B13" s="122" t="s">
        <v>254</v>
      </c>
    </row>
    <row r="14" spans="1:2" ht="81" customHeight="1" x14ac:dyDescent="0.3">
      <c r="A14" s="180"/>
      <c r="B14" s="122" t="s">
        <v>255</v>
      </c>
    </row>
    <row r="15" spans="1:2" ht="80.25" customHeight="1" x14ac:dyDescent="0.3">
      <c r="A15" s="181"/>
      <c r="B15" s="122" t="s">
        <v>256</v>
      </c>
    </row>
    <row r="16" spans="1:2" ht="79.5" customHeight="1" x14ac:dyDescent="0.3">
      <c r="A16" s="179" t="s">
        <v>243</v>
      </c>
      <c r="B16" s="122" t="s">
        <v>244</v>
      </c>
    </row>
    <row r="17" spans="1:2" ht="84" customHeight="1" x14ac:dyDescent="0.3">
      <c r="A17" s="180"/>
      <c r="B17" s="122" t="s">
        <v>245</v>
      </c>
    </row>
    <row r="18" spans="1:2" ht="83.25" customHeight="1" x14ac:dyDescent="0.3">
      <c r="A18" s="181"/>
      <c r="B18" s="122" t="s">
        <v>246</v>
      </c>
    </row>
    <row r="19" spans="1:2" ht="69" customHeight="1" x14ac:dyDescent="0.3">
      <c r="A19" s="179" t="s">
        <v>239</v>
      </c>
      <c r="B19" s="122" t="s">
        <v>240</v>
      </c>
    </row>
    <row r="20" spans="1:2" ht="82.5" customHeight="1" x14ac:dyDescent="0.3">
      <c r="A20" s="180"/>
      <c r="B20" s="122" t="s">
        <v>241</v>
      </c>
    </row>
    <row r="21" spans="1:2" ht="76.5" customHeight="1" x14ac:dyDescent="0.3">
      <c r="A21" s="181"/>
      <c r="B21" s="122" t="s">
        <v>242</v>
      </c>
    </row>
    <row r="22" spans="1:2" ht="68.25" customHeight="1" x14ac:dyDescent="0.3">
      <c r="A22" s="179" t="s">
        <v>234</v>
      </c>
      <c r="B22" s="122" t="s">
        <v>235</v>
      </c>
    </row>
    <row r="23" spans="1:2" ht="83.25" customHeight="1" x14ac:dyDescent="0.3">
      <c r="A23" s="180"/>
      <c r="B23" s="122" t="s">
        <v>236</v>
      </c>
    </row>
    <row r="24" spans="1:2" ht="82.5" customHeight="1" x14ac:dyDescent="0.3">
      <c r="A24" s="180"/>
      <c r="B24" s="122" t="s">
        <v>237</v>
      </c>
    </row>
    <row r="25" spans="1:2" ht="47.25" customHeight="1" x14ac:dyDescent="0.3">
      <c r="A25" s="180"/>
      <c r="B25" s="122" t="s">
        <v>280</v>
      </c>
    </row>
    <row r="26" spans="1:2" ht="33.75" customHeight="1" x14ac:dyDescent="0.3">
      <c r="A26" s="180"/>
      <c r="B26" s="122" t="s">
        <v>281</v>
      </c>
    </row>
    <row r="27" spans="1:2" ht="81.75" customHeight="1" x14ac:dyDescent="0.3">
      <c r="A27" s="181"/>
      <c r="B27" s="122" t="s">
        <v>238</v>
      </c>
    </row>
    <row r="28" spans="1:2" ht="51.75" customHeight="1" x14ac:dyDescent="0.25">
      <c r="A28" s="191" t="s">
        <v>278</v>
      </c>
      <c r="B28" s="122" t="s">
        <v>279</v>
      </c>
    </row>
    <row r="29" spans="1:2" ht="41.25" customHeight="1" x14ac:dyDescent="0.3">
      <c r="A29" s="190" t="s">
        <v>275</v>
      </c>
      <c r="B29" s="122" t="s">
        <v>277</v>
      </c>
    </row>
    <row r="30" spans="1:2" ht="37.5" customHeight="1" x14ac:dyDescent="0.3">
      <c r="A30" s="180"/>
      <c r="B30" s="122" t="s">
        <v>276</v>
      </c>
    </row>
    <row r="31" spans="1:2" ht="58.5" customHeight="1" x14ac:dyDescent="0.25">
      <c r="A31" s="189" t="s">
        <v>273</v>
      </c>
      <c r="B31" s="122" t="s">
        <v>274</v>
      </c>
    </row>
    <row r="32" spans="1:2" ht="30.75" customHeight="1" x14ac:dyDescent="0.3">
      <c r="A32" s="179"/>
      <c r="B32" s="122" t="s">
        <v>265</v>
      </c>
    </row>
    <row r="33" spans="1:2" ht="33.75" customHeight="1" x14ac:dyDescent="0.3">
      <c r="A33" s="180" t="s">
        <v>231</v>
      </c>
      <c r="B33" s="122" t="s">
        <v>266</v>
      </c>
    </row>
    <row r="34" spans="1:2" ht="35.25" customHeight="1" x14ac:dyDescent="0.3">
      <c r="A34" s="180"/>
      <c r="B34" s="122" t="s">
        <v>267</v>
      </c>
    </row>
    <row r="35" spans="1:2" ht="27" customHeight="1" x14ac:dyDescent="0.3">
      <c r="A35" s="180"/>
      <c r="B35" s="183" t="s">
        <v>268</v>
      </c>
    </row>
    <row r="36" spans="1:2" ht="23.25" customHeight="1" x14ac:dyDescent="0.3">
      <c r="A36" s="180"/>
      <c r="B36" s="184" t="s">
        <v>232</v>
      </c>
    </row>
    <row r="37" spans="1:2" ht="23.25" customHeight="1" x14ac:dyDescent="0.3">
      <c r="A37" s="180"/>
      <c r="B37" s="185" t="s">
        <v>233</v>
      </c>
    </row>
    <row r="38" spans="1:2" ht="48" customHeight="1" x14ac:dyDescent="0.3">
      <c r="A38" s="181"/>
      <c r="B38" s="122" t="s">
        <v>271</v>
      </c>
    </row>
    <row r="39" spans="1:2" ht="43.5" customHeight="1" x14ac:dyDescent="0.3">
      <c r="A39" s="179" t="s">
        <v>269</v>
      </c>
      <c r="B39" s="122" t="s">
        <v>270</v>
      </c>
    </row>
    <row r="40" spans="1:2" ht="43.5" customHeight="1" x14ac:dyDescent="0.3">
      <c r="A40" s="181"/>
      <c r="B40" s="183" t="s">
        <v>272</v>
      </c>
    </row>
    <row r="41" spans="1:2" ht="42.75" customHeight="1" x14ac:dyDescent="0.3">
      <c r="A41" s="179" t="s">
        <v>230</v>
      </c>
      <c r="B41" s="186" t="s">
        <v>251</v>
      </c>
    </row>
    <row r="42" spans="1:2" ht="21" customHeight="1" x14ac:dyDescent="0.3">
      <c r="A42" s="180"/>
      <c r="B42" s="184" t="s">
        <v>248</v>
      </c>
    </row>
    <row r="43" spans="1:2" ht="37.5" x14ac:dyDescent="0.3">
      <c r="A43" s="180"/>
      <c r="B43" s="184" t="s">
        <v>249</v>
      </c>
    </row>
    <row r="44" spans="1:2" ht="19.5" customHeight="1" x14ac:dyDescent="0.3">
      <c r="A44" s="181"/>
      <c r="B44" s="187" t="s">
        <v>250</v>
      </c>
    </row>
  </sheetData>
  <pageMargins left="0.25" right="0.25" top="0.75" bottom="0.75" header="0.3" footer="0.3"/>
  <pageSetup paperSize="9" scale="88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8"/>
  <sheetViews>
    <sheetView topLeftCell="A4" workbookViewId="0">
      <selection activeCell="C28" sqref="C28"/>
    </sheetView>
  </sheetViews>
  <sheetFormatPr defaultRowHeight="15" x14ac:dyDescent="0.25"/>
  <cols>
    <col min="1" max="1" width="3.7109375" customWidth="1"/>
    <col min="2" max="2" width="49.28515625" customWidth="1"/>
    <col min="3" max="3" width="33.42578125" customWidth="1"/>
    <col min="4" max="4" width="6.7109375" customWidth="1"/>
    <col min="5" max="5" width="17.28515625" customWidth="1"/>
  </cols>
  <sheetData>
    <row r="2" spans="2:3" ht="23.25" x14ac:dyDescent="0.25">
      <c r="B2" s="214" t="s">
        <v>34</v>
      </c>
      <c r="C2" s="214"/>
    </row>
    <row r="3" spans="2:3" ht="38.25" customHeight="1" x14ac:dyDescent="0.25">
      <c r="B3" s="215" t="s">
        <v>282</v>
      </c>
      <c r="C3" s="215"/>
    </row>
    <row r="4" spans="2:3" ht="15.75" thickBot="1" x14ac:dyDescent="0.3"/>
    <row r="5" spans="2:3" ht="18.75" x14ac:dyDescent="0.25">
      <c r="B5" s="15"/>
      <c r="C5" s="17"/>
    </row>
    <row r="6" spans="2:3" ht="18.75" x14ac:dyDescent="0.25">
      <c r="B6" s="148" t="s">
        <v>67</v>
      </c>
      <c r="C6" s="149"/>
    </row>
    <row r="7" spans="2:3" ht="18.75" x14ac:dyDescent="0.25">
      <c r="B7" s="151" t="s">
        <v>292</v>
      </c>
      <c r="C7" s="152">
        <f>'51'!B9</f>
        <v>867275.84</v>
      </c>
    </row>
    <row r="8" spans="2:3" ht="19.5" thickBot="1" x14ac:dyDescent="0.3">
      <c r="B8" s="153" t="s">
        <v>293</v>
      </c>
      <c r="C8" s="154">
        <v>13684.5</v>
      </c>
    </row>
    <row r="9" spans="2:3" ht="19.5" thickBot="1" x14ac:dyDescent="0.3">
      <c r="B9" s="269" t="s">
        <v>6</v>
      </c>
      <c r="C9" s="270">
        <f>SUM(C10:C11)</f>
        <v>4587749.3199999994</v>
      </c>
    </row>
    <row r="10" spans="2:3" ht="18.75" x14ac:dyDescent="0.25">
      <c r="B10" s="265" t="s">
        <v>228</v>
      </c>
      <c r="C10" s="266">
        <f>'51'!D31</f>
        <v>4580564.18</v>
      </c>
    </row>
    <row r="11" spans="2:3" ht="19.5" thickBot="1" x14ac:dyDescent="0.3">
      <c r="B11" s="263" t="s">
        <v>229</v>
      </c>
      <c r="C11" s="264">
        <f>'51'!D32</f>
        <v>7185.14</v>
      </c>
    </row>
    <row r="12" spans="2:3" ht="19.5" thickBot="1" x14ac:dyDescent="0.3">
      <c r="B12" s="146" t="s">
        <v>10</v>
      </c>
      <c r="C12" s="150">
        <f>SUM(C13:C25)</f>
        <v>4642521.1899999995</v>
      </c>
    </row>
    <row r="13" spans="2:3" ht="18.75" x14ac:dyDescent="0.25">
      <c r="B13" s="245" t="s">
        <v>103</v>
      </c>
      <c r="C13" s="244">
        <v>1424872.47</v>
      </c>
    </row>
    <row r="14" spans="2:3" ht="18.75" x14ac:dyDescent="0.25">
      <c r="B14" s="254" t="s">
        <v>13</v>
      </c>
      <c r="C14" s="255">
        <f>'51'!E35</f>
        <v>8387.44</v>
      </c>
    </row>
    <row r="15" spans="2:3" ht="18.75" x14ac:dyDescent="0.25">
      <c r="B15" s="254" t="s">
        <v>14</v>
      </c>
      <c r="C15" s="255">
        <f>'51'!E33</f>
        <v>6600</v>
      </c>
    </row>
    <row r="16" spans="2:3" ht="18.75" x14ac:dyDescent="0.25">
      <c r="B16" s="254" t="s">
        <v>16</v>
      </c>
      <c r="C16" s="255">
        <f>'51'!E34</f>
        <v>201177</v>
      </c>
    </row>
    <row r="17" spans="2:5" ht="18.75" x14ac:dyDescent="0.25">
      <c r="B17" s="254" t="s">
        <v>15</v>
      </c>
      <c r="C17" s="255">
        <f>'51'!E27</f>
        <v>34860.639999999999</v>
      </c>
    </row>
    <row r="18" spans="2:5" ht="18.75" x14ac:dyDescent="0.25">
      <c r="B18" s="254" t="s">
        <v>18</v>
      </c>
      <c r="C18" s="255">
        <f>'51'!E28</f>
        <v>92587.45</v>
      </c>
    </row>
    <row r="19" spans="2:5" ht="18.75" x14ac:dyDescent="0.25">
      <c r="B19" s="254" t="s">
        <v>21</v>
      </c>
      <c r="C19" s="255">
        <f>'51'!E20+'51'!E21</f>
        <v>1210357.1000000001</v>
      </c>
    </row>
    <row r="20" spans="2:5" ht="18.75" x14ac:dyDescent="0.25">
      <c r="B20" s="254" t="s">
        <v>222</v>
      </c>
      <c r="C20" s="255">
        <f>'51'!H22</f>
        <v>364833.71</v>
      </c>
    </row>
    <row r="21" spans="2:5" ht="18.75" x14ac:dyDescent="0.25">
      <c r="B21" s="151" t="s">
        <v>23</v>
      </c>
      <c r="C21" s="163">
        <f>'51'!E18+'51'!E19</f>
        <v>1153559.03</v>
      </c>
    </row>
    <row r="22" spans="2:5" ht="18.75" x14ac:dyDescent="0.25">
      <c r="B22" s="254" t="s">
        <v>25</v>
      </c>
      <c r="C22" s="259">
        <f>'51'!E36</f>
        <v>101300.6</v>
      </c>
    </row>
    <row r="23" spans="2:5" ht="18.75" x14ac:dyDescent="0.25">
      <c r="B23" s="254" t="s">
        <v>26</v>
      </c>
      <c r="C23" s="259">
        <f>'51'!E30</f>
        <v>11286.63</v>
      </c>
    </row>
    <row r="24" spans="2:5" ht="18.75" x14ac:dyDescent="0.25">
      <c r="B24" s="254" t="s">
        <v>28</v>
      </c>
      <c r="C24" s="259">
        <f>'51'!E37</f>
        <v>20900</v>
      </c>
    </row>
    <row r="25" spans="2:5" ht="19.5" thickBot="1" x14ac:dyDescent="0.3">
      <c r="B25" s="257" t="s">
        <v>29</v>
      </c>
      <c r="C25" s="258">
        <f>'51'!E29</f>
        <v>11799.12</v>
      </c>
    </row>
    <row r="26" spans="2:5" ht="18.75" x14ac:dyDescent="0.25">
      <c r="B26" s="155" t="s">
        <v>291</v>
      </c>
      <c r="C26" s="168">
        <v>12739.46</v>
      </c>
    </row>
    <row r="27" spans="2:5" ht="19.5" thickBot="1" x14ac:dyDescent="0.3">
      <c r="B27" s="153" t="s">
        <v>294</v>
      </c>
      <c r="C27" s="154">
        <f>'51'!F9</f>
        <v>819103.97</v>
      </c>
      <c r="E27" s="113"/>
    </row>
    <row r="28" spans="2:5" x14ac:dyDescent="0.25">
      <c r="C28" s="113"/>
    </row>
  </sheetData>
  <mergeCells count="2">
    <mergeCell ref="B3:C3"/>
    <mergeCell ref="B2:C2"/>
  </mergeCells>
  <pageMargins left="0.31496062992125984" right="0.11811023622047245" top="0.35433070866141736" bottom="0.35433070866141736" header="0.31496062992125984" footer="0.31496062992125984"/>
  <pageSetup paperSize="9" scale="5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4" workbookViewId="0">
      <selection activeCell="I20" sqref="I20:I26"/>
    </sheetView>
  </sheetViews>
  <sheetFormatPr defaultRowHeight="15" x14ac:dyDescent="0.25"/>
  <cols>
    <col min="1" max="1" width="36.140625" customWidth="1"/>
    <col min="2" max="2" width="11" customWidth="1"/>
    <col min="4" max="4" width="13.85546875" customWidth="1"/>
    <col min="5" max="5" width="15.28515625" customWidth="1"/>
    <col min="6" max="6" width="13" customWidth="1"/>
    <col min="8" max="8" width="11.42578125" bestFit="1" customWidth="1"/>
    <col min="9" max="9" width="11.140625" customWidth="1"/>
  </cols>
  <sheetData>
    <row r="1" spans="1:7" ht="18" customHeight="1" x14ac:dyDescent="0.25">
      <c r="A1" s="192" t="s">
        <v>106</v>
      </c>
      <c r="B1" s="193"/>
      <c r="C1" s="193"/>
      <c r="D1" s="193"/>
      <c r="E1" s="193"/>
      <c r="F1" s="193"/>
      <c r="G1" s="193"/>
    </row>
    <row r="2" spans="1:7" ht="19.5" customHeight="1" x14ac:dyDescent="0.25">
      <c r="A2" s="194" t="s">
        <v>283</v>
      </c>
      <c r="B2" s="193"/>
      <c r="C2" s="193"/>
      <c r="D2" s="193"/>
      <c r="E2" s="193"/>
      <c r="F2" s="193"/>
      <c r="G2" s="193"/>
    </row>
    <row r="3" spans="1:7" ht="9.75" customHeight="1" x14ac:dyDescent="0.25">
      <c r="A3" s="193"/>
      <c r="B3" s="193"/>
      <c r="C3" s="193"/>
      <c r="D3" s="193"/>
      <c r="E3" s="193"/>
      <c r="F3" s="193"/>
      <c r="G3" s="193"/>
    </row>
    <row r="4" spans="1:7" s="57" customFormat="1" ht="16.5" customHeight="1" x14ac:dyDescent="0.2">
      <c r="A4" s="195" t="s">
        <v>284</v>
      </c>
      <c r="B4" s="195" t="s">
        <v>285</v>
      </c>
      <c r="C4" s="193"/>
      <c r="D4" s="193"/>
      <c r="E4" s="193"/>
      <c r="F4" s="193"/>
      <c r="G4" s="193"/>
    </row>
    <row r="5" spans="1:7" s="57" customFormat="1" ht="16.5" customHeight="1" x14ac:dyDescent="0.2">
      <c r="A5" s="193"/>
      <c r="B5" s="193"/>
      <c r="C5" s="193"/>
      <c r="D5" s="193"/>
      <c r="E5" s="193"/>
      <c r="F5" s="193"/>
      <c r="G5" s="193"/>
    </row>
    <row r="6" spans="1:7" s="57" customFormat="1" ht="16.5" customHeight="1" x14ac:dyDescent="0.2">
      <c r="A6" s="196" t="s">
        <v>108</v>
      </c>
      <c r="B6" s="240" t="s">
        <v>109</v>
      </c>
      <c r="C6" s="240"/>
      <c r="D6" s="240" t="s">
        <v>110</v>
      </c>
      <c r="E6" s="240"/>
      <c r="F6" s="240" t="s">
        <v>111</v>
      </c>
      <c r="G6" s="240"/>
    </row>
    <row r="7" spans="1:7" x14ac:dyDescent="0.25">
      <c r="A7" s="196" t="s">
        <v>112</v>
      </c>
      <c r="B7" s="237" t="s">
        <v>113</v>
      </c>
      <c r="C7" s="237" t="s">
        <v>114</v>
      </c>
      <c r="D7" s="237" t="s">
        <v>113</v>
      </c>
      <c r="E7" s="237" t="s">
        <v>114</v>
      </c>
      <c r="F7" s="237" t="s">
        <v>113</v>
      </c>
      <c r="G7" s="237" t="s">
        <v>114</v>
      </c>
    </row>
    <row r="8" spans="1:7" ht="16.5" customHeight="1" x14ac:dyDescent="0.25">
      <c r="A8" s="196" t="s">
        <v>115</v>
      </c>
      <c r="B8" s="238"/>
      <c r="C8" s="238"/>
      <c r="D8" s="238"/>
      <c r="E8" s="238"/>
      <c r="F8" s="238"/>
      <c r="G8" s="238"/>
    </row>
    <row r="9" spans="1:7" ht="14.45" customHeight="1" x14ac:dyDescent="0.25">
      <c r="A9" s="197" t="s">
        <v>116</v>
      </c>
      <c r="B9" s="198">
        <v>867275.84</v>
      </c>
      <c r="C9" s="199"/>
      <c r="D9" s="198">
        <v>5594349.3200000003</v>
      </c>
      <c r="E9" s="198">
        <v>5642521.1900000004</v>
      </c>
      <c r="F9" s="198">
        <v>819103.97</v>
      </c>
      <c r="G9" s="199"/>
    </row>
    <row r="10" spans="1:7" ht="14.45" customHeight="1" x14ac:dyDescent="0.25">
      <c r="A10" s="200" t="s">
        <v>286</v>
      </c>
      <c r="B10" s="201"/>
      <c r="C10" s="201"/>
      <c r="D10" s="202">
        <v>500000</v>
      </c>
      <c r="E10" s="202">
        <v>500000</v>
      </c>
      <c r="F10" s="201"/>
      <c r="G10" s="201"/>
    </row>
    <row r="11" spans="1:7" ht="14.45" customHeight="1" x14ac:dyDescent="0.25">
      <c r="A11" s="203" t="s">
        <v>287</v>
      </c>
      <c r="B11" s="204"/>
      <c r="C11" s="204"/>
      <c r="D11" s="205">
        <v>500000</v>
      </c>
      <c r="E11" s="204"/>
      <c r="F11" s="204"/>
      <c r="G11" s="204"/>
    </row>
    <row r="12" spans="1:7" ht="14.45" customHeight="1" x14ac:dyDescent="0.25">
      <c r="A12" s="203" t="s">
        <v>288</v>
      </c>
      <c r="B12" s="204"/>
      <c r="C12" s="204"/>
      <c r="D12" s="204"/>
      <c r="E12" s="205">
        <v>500000</v>
      </c>
      <c r="F12" s="204"/>
      <c r="G12" s="204"/>
    </row>
    <row r="13" spans="1:7" ht="14.45" customHeight="1" x14ac:dyDescent="0.25">
      <c r="A13" s="200" t="s">
        <v>117</v>
      </c>
      <c r="B13" s="202">
        <v>867275.84</v>
      </c>
      <c r="C13" s="201"/>
      <c r="D13" s="202">
        <v>5094349.32</v>
      </c>
      <c r="E13" s="202">
        <v>5142521.1900000004</v>
      </c>
      <c r="F13" s="202">
        <v>819103.97</v>
      </c>
      <c r="G13" s="201"/>
    </row>
    <row r="14" spans="1:7" ht="14.45" customHeight="1" x14ac:dyDescent="0.25">
      <c r="A14" s="203" t="s">
        <v>287</v>
      </c>
      <c r="B14" s="204"/>
      <c r="C14" s="204"/>
      <c r="D14" s="205">
        <v>500000</v>
      </c>
      <c r="E14" s="242">
        <v>500000</v>
      </c>
      <c r="F14" s="204"/>
      <c r="G14" s="204"/>
    </row>
    <row r="15" spans="1:7" ht="14.45" customHeight="1" x14ac:dyDescent="0.25">
      <c r="A15" s="246" t="s">
        <v>119</v>
      </c>
      <c r="B15" s="247"/>
      <c r="C15" s="247"/>
      <c r="D15" s="248"/>
      <c r="E15" s="249">
        <v>2099.5300000000002</v>
      </c>
      <c r="F15" s="241"/>
      <c r="G15" s="204"/>
    </row>
    <row r="16" spans="1:7" ht="14.45" customHeight="1" x14ac:dyDescent="0.25">
      <c r="A16" s="246" t="s">
        <v>121</v>
      </c>
      <c r="B16" s="247"/>
      <c r="C16" s="247"/>
      <c r="D16" s="248"/>
      <c r="E16" s="250">
        <v>1422772.94</v>
      </c>
      <c r="F16" s="241"/>
      <c r="G16" s="204"/>
    </row>
    <row r="17" spans="1:9" ht="14.45" customHeight="1" x14ac:dyDescent="0.25">
      <c r="A17" s="203" t="s">
        <v>288</v>
      </c>
      <c r="B17" s="204"/>
      <c r="C17" s="204"/>
      <c r="D17" s="205">
        <v>6600</v>
      </c>
      <c r="E17" s="243"/>
      <c r="F17" s="204"/>
      <c r="G17" s="204"/>
    </row>
    <row r="18" spans="1:9" s="111" customFormat="1" ht="14.45" customHeight="1" x14ac:dyDescent="0.25">
      <c r="A18" s="277" t="s">
        <v>122</v>
      </c>
      <c r="B18" s="278"/>
      <c r="C18" s="278"/>
      <c r="D18" s="278"/>
      <c r="E18" s="279">
        <v>165101.69</v>
      </c>
      <c r="F18" s="204"/>
      <c r="G18" s="204"/>
      <c r="H18" s="281">
        <f>E18+E19</f>
        <v>1153559.03</v>
      </c>
    </row>
    <row r="19" spans="1:9" ht="14.45" customHeight="1" x14ac:dyDescent="0.25">
      <c r="A19" s="277" t="s">
        <v>124</v>
      </c>
      <c r="B19" s="278"/>
      <c r="C19" s="278"/>
      <c r="D19" s="278"/>
      <c r="E19" s="280">
        <v>988457.34</v>
      </c>
      <c r="F19" s="204"/>
      <c r="G19" s="204"/>
      <c r="H19" s="282"/>
    </row>
    <row r="20" spans="1:9" ht="14.45" customHeight="1" x14ac:dyDescent="0.25">
      <c r="A20" s="251" t="s">
        <v>123</v>
      </c>
      <c r="B20" s="247"/>
      <c r="C20" s="247"/>
      <c r="D20" s="248"/>
      <c r="E20" s="252">
        <v>1059685.1000000001</v>
      </c>
      <c r="F20" s="241"/>
      <c r="G20" s="209"/>
      <c r="H20" s="306">
        <f>SUM(E20:E21)</f>
        <v>1210357.1000000001</v>
      </c>
      <c r="I20" s="308">
        <f>H20+H22</f>
        <v>1575190.81</v>
      </c>
    </row>
    <row r="21" spans="1:9" ht="14.45" customHeight="1" x14ac:dyDescent="0.25">
      <c r="A21" s="251" t="s">
        <v>136</v>
      </c>
      <c r="B21" s="247"/>
      <c r="C21" s="247"/>
      <c r="D21" s="248"/>
      <c r="E21" s="253">
        <v>150672</v>
      </c>
      <c r="F21" s="241"/>
      <c r="G21" s="209"/>
      <c r="H21" s="307"/>
      <c r="I21" s="309"/>
    </row>
    <row r="22" spans="1:9" ht="14.45" customHeight="1" x14ac:dyDescent="0.25">
      <c r="A22" s="251" t="s">
        <v>127</v>
      </c>
      <c r="B22" s="247"/>
      <c r="C22" s="247"/>
      <c r="D22" s="248"/>
      <c r="E22" s="252">
        <v>2053.65</v>
      </c>
      <c r="F22" s="241"/>
      <c r="G22" s="209"/>
      <c r="H22" s="239">
        <f>SUM(E22:E26)</f>
        <v>364833.71</v>
      </c>
      <c r="I22" s="309"/>
    </row>
    <row r="23" spans="1:9" ht="14.45" customHeight="1" x14ac:dyDescent="0.25">
      <c r="A23" s="251" t="s">
        <v>128</v>
      </c>
      <c r="B23" s="247"/>
      <c r="C23" s="247"/>
      <c r="D23" s="248"/>
      <c r="E23" s="271">
        <v>265904.36</v>
      </c>
      <c r="F23" s="241"/>
      <c r="G23" s="209"/>
      <c r="H23" s="304"/>
      <c r="I23" s="309"/>
    </row>
    <row r="24" spans="1:9" ht="14.45" customHeight="1" x14ac:dyDescent="0.25">
      <c r="A24" s="251" t="s">
        <v>129</v>
      </c>
      <c r="B24" s="247"/>
      <c r="C24" s="247"/>
      <c r="D24" s="248"/>
      <c r="E24" s="272">
        <v>14784</v>
      </c>
      <c r="F24" s="241"/>
      <c r="G24" s="209"/>
      <c r="H24" s="304"/>
      <c r="I24" s="309"/>
    </row>
    <row r="25" spans="1:9" ht="14.45" customHeight="1" x14ac:dyDescent="0.25">
      <c r="A25" s="251" t="s">
        <v>130</v>
      </c>
      <c r="B25" s="247"/>
      <c r="C25" s="247"/>
      <c r="D25" s="248"/>
      <c r="E25" s="273">
        <v>57199.7</v>
      </c>
      <c r="F25" s="241"/>
      <c r="G25" s="209"/>
      <c r="H25" s="304"/>
      <c r="I25" s="309"/>
    </row>
    <row r="26" spans="1:9" ht="14.45" customHeight="1" x14ac:dyDescent="0.25">
      <c r="A26" s="251" t="s">
        <v>126</v>
      </c>
      <c r="B26" s="274"/>
      <c r="C26" s="274"/>
      <c r="D26" s="275"/>
      <c r="E26" s="276">
        <v>24892</v>
      </c>
      <c r="F26" s="241"/>
      <c r="G26" s="209"/>
      <c r="H26" s="305"/>
      <c r="I26" s="309"/>
    </row>
    <row r="27" spans="1:9" ht="14.45" customHeight="1" x14ac:dyDescent="0.25">
      <c r="A27" s="246" t="s">
        <v>131</v>
      </c>
      <c r="B27" s="247"/>
      <c r="C27" s="247"/>
      <c r="D27" s="247"/>
      <c r="E27" s="267">
        <v>34860.639999999999</v>
      </c>
      <c r="F27" s="204"/>
      <c r="G27" s="204"/>
    </row>
    <row r="28" spans="1:9" ht="14.45" customHeight="1" x14ac:dyDescent="0.25">
      <c r="A28" s="246" t="s">
        <v>132</v>
      </c>
      <c r="B28" s="247"/>
      <c r="C28" s="247"/>
      <c r="D28" s="247"/>
      <c r="E28" s="256">
        <v>92587.45</v>
      </c>
      <c r="F28" s="204"/>
      <c r="G28" s="204"/>
    </row>
    <row r="29" spans="1:9" ht="14.45" customHeight="1" x14ac:dyDescent="0.25">
      <c r="A29" s="246" t="s">
        <v>125</v>
      </c>
      <c r="B29" s="247"/>
      <c r="C29" s="247"/>
      <c r="D29" s="247"/>
      <c r="E29" s="256">
        <v>11799.12</v>
      </c>
      <c r="F29" s="204"/>
      <c r="G29" s="204"/>
    </row>
    <row r="30" spans="1:9" ht="14.45" customHeight="1" x14ac:dyDescent="0.25">
      <c r="A30" s="246" t="s">
        <v>289</v>
      </c>
      <c r="B30" s="247"/>
      <c r="C30" s="247"/>
      <c r="D30" s="247"/>
      <c r="E30" s="268">
        <v>11286.63</v>
      </c>
      <c r="F30" s="204"/>
      <c r="G30" s="204"/>
    </row>
    <row r="31" spans="1:9" ht="14.45" customHeight="1" x14ac:dyDescent="0.25">
      <c r="A31" s="260" t="s">
        <v>133</v>
      </c>
      <c r="B31" s="261"/>
      <c r="C31" s="261"/>
      <c r="D31" s="262">
        <v>4580564.18</v>
      </c>
      <c r="E31" s="204"/>
      <c r="F31" s="204"/>
      <c r="G31" s="204"/>
    </row>
    <row r="32" spans="1:9" ht="14.45" customHeight="1" x14ac:dyDescent="0.25">
      <c r="A32" s="260" t="s">
        <v>290</v>
      </c>
      <c r="B32" s="261"/>
      <c r="C32" s="261"/>
      <c r="D32" s="262">
        <v>7185.14</v>
      </c>
      <c r="E32" s="204"/>
      <c r="F32" s="204"/>
      <c r="G32" s="204"/>
    </row>
    <row r="33" spans="1:7" ht="14.45" customHeight="1" x14ac:dyDescent="0.25">
      <c r="A33" s="246" t="s">
        <v>138</v>
      </c>
      <c r="B33" s="247"/>
      <c r="C33" s="247"/>
      <c r="D33" s="247"/>
      <c r="E33" s="256">
        <v>6600</v>
      </c>
      <c r="F33" s="204"/>
      <c r="G33" s="204"/>
    </row>
    <row r="34" spans="1:7" ht="14.45" customHeight="1" x14ac:dyDescent="0.25">
      <c r="A34" s="246" t="s">
        <v>139</v>
      </c>
      <c r="B34" s="247"/>
      <c r="C34" s="247"/>
      <c r="D34" s="247"/>
      <c r="E34" s="256">
        <v>201177</v>
      </c>
      <c r="F34" s="204"/>
      <c r="G34" s="204"/>
    </row>
    <row r="35" spans="1:7" x14ac:dyDescent="0.25">
      <c r="A35" s="246" t="s">
        <v>140</v>
      </c>
      <c r="B35" s="247"/>
      <c r="C35" s="247"/>
      <c r="D35" s="247"/>
      <c r="E35" s="256">
        <v>8387.44</v>
      </c>
      <c r="F35" s="204"/>
      <c r="G35" s="204"/>
    </row>
    <row r="36" spans="1:7" x14ac:dyDescent="0.25">
      <c r="A36" s="246" t="s">
        <v>141</v>
      </c>
      <c r="B36" s="247"/>
      <c r="C36" s="247"/>
      <c r="D36" s="247"/>
      <c r="E36" s="256">
        <v>101300.6</v>
      </c>
      <c r="F36" s="204"/>
      <c r="G36" s="204"/>
    </row>
    <row r="37" spans="1:7" ht="18.75" customHeight="1" x14ac:dyDescent="0.25">
      <c r="A37" s="246" t="s">
        <v>142</v>
      </c>
      <c r="B37" s="247"/>
      <c r="C37" s="247"/>
      <c r="D37" s="247"/>
      <c r="E37" s="256">
        <v>20900</v>
      </c>
      <c r="F37" s="204"/>
      <c r="G37" s="204"/>
    </row>
    <row r="38" spans="1:7" x14ac:dyDescent="0.25">
      <c r="A38" s="206" t="s">
        <v>145</v>
      </c>
      <c r="B38" s="207">
        <v>867275.84</v>
      </c>
      <c r="C38" s="208"/>
      <c r="D38" s="207">
        <v>5594349.3200000003</v>
      </c>
      <c r="E38" s="207">
        <v>5642521.1900000004</v>
      </c>
      <c r="F38" s="207">
        <v>819103.97</v>
      </c>
      <c r="G38" s="208"/>
    </row>
  </sheetData>
  <mergeCells count="13">
    <mergeCell ref="H22:H26"/>
    <mergeCell ref="I20:I26"/>
    <mergeCell ref="B6:C6"/>
    <mergeCell ref="D6:E6"/>
    <mergeCell ref="F6:G6"/>
    <mergeCell ref="B7:B8"/>
    <mergeCell ref="C7:C8"/>
    <mergeCell ref="D7:D8"/>
    <mergeCell ref="E7:E8"/>
    <mergeCell ref="F7:F8"/>
    <mergeCell ref="G7:G8"/>
    <mergeCell ref="H20:H21"/>
    <mergeCell ref="H18:H19"/>
  </mergeCells>
  <pageMargins left="0.51181102362204722" right="0.31496062992125984" top="0.74803149606299213" bottom="0.35433070866141736" header="0.31496062992125984" footer="0.31496062992125984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0" sqref="G20"/>
    </sheetView>
  </sheetViews>
  <sheetFormatPr defaultRowHeight="15" x14ac:dyDescent="0.25"/>
  <cols>
    <col min="1" max="1" width="29.7109375" customWidth="1"/>
    <col min="2" max="2" width="11.7109375" customWidth="1"/>
    <col min="4" max="4" width="14.28515625" customWidth="1"/>
    <col min="5" max="5" width="16.28515625" customWidth="1"/>
    <col min="6" max="6" width="19.5703125" customWidth="1"/>
  </cols>
  <sheetData>
    <row r="1" spans="1:7" x14ac:dyDescent="0.25">
      <c r="A1" s="283" t="s">
        <v>106</v>
      </c>
      <c r="B1" s="284"/>
      <c r="C1" s="284"/>
      <c r="D1" s="284"/>
      <c r="E1" s="284"/>
      <c r="F1" s="284"/>
      <c r="G1" s="284"/>
    </row>
    <row r="2" spans="1:7" ht="21" customHeight="1" x14ac:dyDescent="0.25">
      <c r="A2" s="302" t="s">
        <v>295</v>
      </c>
      <c r="B2" s="302"/>
      <c r="C2" s="302"/>
      <c r="D2" s="302"/>
      <c r="E2" s="302"/>
      <c r="F2" s="302"/>
      <c r="G2" s="302"/>
    </row>
    <row r="3" spans="1:7" x14ac:dyDescent="0.25">
      <c r="A3" s="284"/>
      <c r="B3" s="284"/>
      <c r="C3" s="284"/>
      <c r="D3" s="284"/>
      <c r="E3" s="284"/>
      <c r="F3" s="284"/>
      <c r="G3" s="284"/>
    </row>
    <row r="4" spans="1:7" ht="21.75" customHeight="1" x14ac:dyDescent="0.25">
      <c r="A4" s="285" t="s">
        <v>284</v>
      </c>
      <c r="B4" s="303" t="s">
        <v>285</v>
      </c>
      <c r="C4" s="303"/>
      <c r="D4" s="284"/>
      <c r="E4" s="284"/>
      <c r="F4" s="284"/>
      <c r="G4" s="284"/>
    </row>
    <row r="5" spans="1:7" x14ac:dyDescent="0.25">
      <c r="A5" s="284"/>
      <c r="B5" s="284"/>
      <c r="C5" s="284"/>
      <c r="D5" s="284"/>
      <c r="E5" s="284"/>
      <c r="F5" s="284"/>
      <c r="G5" s="284"/>
    </row>
    <row r="6" spans="1:7" x14ac:dyDescent="0.25">
      <c r="A6" s="286" t="s">
        <v>108</v>
      </c>
      <c r="B6" s="287" t="s">
        <v>109</v>
      </c>
      <c r="C6" s="287"/>
      <c r="D6" s="287" t="s">
        <v>110</v>
      </c>
      <c r="E6" s="287"/>
      <c r="F6" s="287" t="s">
        <v>111</v>
      </c>
      <c r="G6" s="287"/>
    </row>
    <row r="7" spans="1:7" ht="15" customHeight="1" x14ac:dyDescent="0.25">
      <c r="A7" s="286" t="s">
        <v>296</v>
      </c>
      <c r="B7" s="288" t="s">
        <v>113</v>
      </c>
      <c r="C7" s="288" t="s">
        <v>114</v>
      </c>
      <c r="D7" s="288" t="s">
        <v>113</v>
      </c>
      <c r="E7" s="288" t="s">
        <v>114</v>
      </c>
      <c r="F7" s="288" t="s">
        <v>113</v>
      </c>
      <c r="G7" s="288" t="s">
        <v>114</v>
      </c>
    </row>
    <row r="8" spans="1:7" ht="14.25" customHeight="1" x14ac:dyDescent="0.25">
      <c r="A8" s="286" t="s">
        <v>297</v>
      </c>
      <c r="B8" s="289"/>
      <c r="C8" s="289"/>
      <c r="D8" s="289"/>
      <c r="E8" s="289"/>
      <c r="F8" s="289"/>
      <c r="G8" s="289"/>
    </row>
    <row r="9" spans="1:7" x14ac:dyDescent="0.25">
      <c r="A9" s="290" t="s">
        <v>298</v>
      </c>
      <c r="B9" s="291"/>
      <c r="C9" s="291"/>
      <c r="D9" s="292">
        <v>3898065.19</v>
      </c>
      <c r="E9" s="292">
        <v>2976765.95</v>
      </c>
      <c r="F9" s="292">
        <v>921299.24</v>
      </c>
      <c r="G9" s="291"/>
    </row>
    <row r="10" spans="1:7" ht="15.75" customHeight="1" x14ac:dyDescent="0.25">
      <c r="A10" s="293" t="s">
        <v>299</v>
      </c>
      <c r="B10" s="294"/>
      <c r="C10" s="294"/>
      <c r="D10" s="295">
        <v>3898065.19</v>
      </c>
      <c r="E10" s="295">
        <v>2976765.95</v>
      </c>
      <c r="F10" s="295">
        <v>921299.24</v>
      </c>
      <c r="G10" s="294"/>
    </row>
    <row r="11" spans="1:7" x14ac:dyDescent="0.25">
      <c r="A11" s="296" t="s">
        <v>118</v>
      </c>
      <c r="B11" s="297"/>
      <c r="C11" s="297"/>
      <c r="D11" s="297"/>
      <c r="E11" s="298">
        <v>422950.54</v>
      </c>
      <c r="F11" s="297"/>
      <c r="G11" s="297"/>
    </row>
    <row r="12" spans="1:7" ht="15.75" customHeight="1" x14ac:dyDescent="0.25">
      <c r="A12" s="296" t="s">
        <v>300</v>
      </c>
      <c r="B12" s="297"/>
      <c r="C12" s="297"/>
      <c r="D12" s="298">
        <v>2053745.14</v>
      </c>
      <c r="E12" s="298">
        <v>741535.14</v>
      </c>
      <c r="F12" s="297"/>
      <c r="G12" s="297"/>
    </row>
    <row r="13" spans="1:7" ht="15" customHeight="1" x14ac:dyDescent="0.25">
      <c r="A13" s="296" t="s">
        <v>301</v>
      </c>
      <c r="B13" s="297"/>
      <c r="C13" s="297"/>
      <c r="D13" s="298">
        <v>3413</v>
      </c>
      <c r="E13" s="298">
        <v>2421</v>
      </c>
      <c r="F13" s="297"/>
      <c r="G13" s="297"/>
    </row>
    <row r="14" spans="1:7" ht="15" customHeight="1" x14ac:dyDescent="0.25">
      <c r="A14" s="296" t="s">
        <v>308</v>
      </c>
      <c r="B14" s="297"/>
      <c r="C14" s="297"/>
      <c r="D14" s="298">
        <v>5297.94</v>
      </c>
      <c r="E14" s="297"/>
      <c r="F14" s="297"/>
      <c r="G14" s="297"/>
    </row>
    <row r="15" spans="1:7" ht="27.75" customHeight="1" x14ac:dyDescent="0.25">
      <c r="A15" s="296" t="s">
        <v>132</v>
      </c>
      <c r="B15" s="297"/>
      <c r="C15" s="297"/>
      <c r="D15" s="298">
        <v>91434.1</v>
      </c>
      <c r="E15" s="298">
        <v>91434.1</v>
      </c>
      <c r="F15" s="297"/>
      <c r="G15" s="297"/>
    </row>
    <row r="16" spans="1:7" ht="15" customHeight="1" x14ac:dyDescent="0.25">
      <c r="A16" s="296" t="s">
        <v>302</v>
      </c>
      <c r="B16" s="297"/>
      <c r="C16" s="297"/>
      <c r="D16" s="298">
        <v>144591.06</v>
      </c>
      <c r="E16" s="298">
        <v>122714.78</v>
      </c>
      <c r="F16" s="297"/>
      <c r="G16" s="297"/>
    </row>
    <row r="17" spans="1:7" ht="15.75" customHeight="1" x14ac:dyDescent="0.25">
      <c r="A17" s="296" t="s">
        <v>303</v>
      </c>
      <c r="B17" s="297"/>
      <c r="C17" s="297"/>
      <c r="D17" s="298">
        <v>3728.7</v>
      </c>
      <c r="E17" s="298">
        <v>3095.14</v>
      </c>
      <c r="F17" s="297"/>
      <c r="G17" s="297"/>
    </row>
    <row r="18" spans="1:7" ht="38.25" customHeight="1" x14ac:dyDescent="0.25">
      <c r="A18" s="296" t="s">
        <v>304</v>
      </c>
      <c r="B18" s="297"/>
      <c r="C18" s="297"/>
      <c r="D18" s="298">
        <v>10450</v>
      </c>
      <c r="E18" s="298">
        <v>10450</v>
      </c>
      <c r="F18" s="297"/>
      <c r="G18" s="297"/>
    </row>
    <row r="19" spans="1:7" ht="14.25" customHeight="1" x14ac:dyDescent="0.25">
      <c r="A19" s="296" t="s">
        <v>305</v>
      </c>
      <c r="B19" s="297"/>
      <c r="C19" s="297"/>
      <c r="D19" s="298">
        <v>1568086.25</v>
      </c>
      <c r="E19" s="298">
        <v>1568086.25</v>
      </c>
      <c r="F19" s="297"/>
      <c r="G19" s="297"/>
    </row>
    <row r="20" spans="1:7" ht="13.5" customHeight="1" x14ac:dyDescent="0.25">
      <c r="A20" s="296" t="s">
        <v>306</v>
      </c>
      <c r="B20" s="297"/>
      <c r="C20" s="297"/>
      <c r="D20" s="298">
        <v>4119</v>
      </c>
      <c r="E20" s="298">
        <v>1979</v>
      </c>
      <c r="F20" s="297"/>
      <c r="G20" s="297"/>
    </row>
    <row r="21" spans="1:7" x14ac:dyDescent="0.25">
      <c r="A21" s="296" t="s">
        <v>307</v>
      </c>
      <c r="B21" s="297"/>
      <c r="C21" s="297"/>
      <c r="D21" s="298">
        <v>13200</v>
      </c>
      <c r="E21" s="298">
        <v>12100</v>
      </c>
      <c r="F21" s="297"/>
      <c r="G21" s="297"/>
    </row>
    <row r="22" spans="1:7" x14ac:dyDescent="0.25">
      <c r="A22" s="299" t="s">
        <v>145</v>
      </c>
      <c r="B22" s="300"/>
      <c r="C22" s="300"/>
      <c r="D22" s="301">
        <v>3898065.19</v>
      </c>
      <c r="E22" s="301">
        <v>2976765.95</v>
      </c>
      <c r="F22" s="301">
        <v>921299.24</v>
      </c>
      <c r="G22" s="300"/>
    </row>
  </sheetData>
  <mergeCells count="11">
    <mergeCell ref="A2:G2"/>
    <mergeCell ref="B4:C4"/>
    <mergeCell ref="B6:C6"/>
    <mergeCell ref="D6:E6"/>
    <mergeCell ref="F6:G6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tabSelected="1" topLeftCell="A4" workbookViewId="0">
      <selection activeCell="D7" sqref="D7"/>
    </sheetView>
  </sheetViews>
  <sheetFormatPr defaultRowHeight="15" x14ac:dyDescent="0.25"/>
  <cols>
    <col min="1" max="1" width="1.7109375" customWidth="1"/>
    <col min="2" max="2" width="36" customWidth="1"/>
    <col min="3" max="3" width="17.85546875" customWidth="1"/>
    <col min="4" max="4" width="15.140625" customWidth="1"/>
    <col min="5" max="5" width="14.7109375" customWidth="1"/>
    <col min="6" max="6" width="14.42578125" customWidth="1"/>
    <col min="7" max="7" width="15.5703125" customWidth="1"/>
  </cols>
  <sheetData>
    <row r="1" spans="2:7" ht="26.25" x14ac:dyDescent="0.25">
      <c r="D1" s="59" t="s">
        <v>165</v>
      </c>
    </row>
    <row r="2" spans="2:7" ht="26.25" x14ac:dyDescent="0.25">
      <c r="D2" s="59" t="s">
        <v>166</v>
      </c>
    </row>
    <row r="3" spans="2:7" ht="26.25" x14ac:dyDescent="0.25">
      <c r="D3" s="59" t="s">
        <v>169</v>
      </c>
    </row>
    <row r="4" spans="2:7" ht="15.75" thickBot="1" x14ac:dyDescent="0.3"/>
    <row r="5" spans="2:7" s="61" customFormat="1" ht="24" customHeight="1" thickBot="1" x14ac:dyDescent="0.3">
      <c r="B5" s="58" t="s">
        <v>67</v>
      </c>
      <c r="C5" s="60" t="s">
        <v>146</v>
      </c>
      <c r="D5" s="60" t="s">
        <v>147</v>
      </c>
      <c r="E5" s="60">
        <v>15</v>
      </c>
      <c r="F5" s="60">
        <v>7</v>
      </c>
      <c r="G5" s="60">
        <v>14</v>
      </c>
    </row>
    <row r="6" spans="2:7" s="111" customFormat="1" ht="27.75" customHeight="1" x14ac:dyDescent="0.25">
      <c r="B6" s="108" t="s">
        <v>148</v>
      </c>
      <c r="C6" s="109">
        <v>16634</v>
      </c>
      <c r="D6" s="109">
        <v>2726.3</v>
      </c>
      <c r="E6" s="109">
        <v>2731.8</v>
      </c>
      <c r="F6" s="109">
        <v>5759.4</v>
      </c>
      <c r="G6" s="110">
        <v>5416.5</v>
      </c>
    </row>
    <row r="7" spans="2:7" s="65" customFormat="1" ht="39.75" customHeight="1" x14ac:dyDescent="0.25">
      <c r="B7" s="105" t="s">
        <v>193</v>
      </c>
      <c r="C7" s="106">
        <f>SUM(D7:G7)</f>
        <v>1790786.7999999998</v>
      </c>
      <c r="D7" s="106">
        <f>272861.39</f>
        <v>272861.39</v>
      </c>
      <c r="E7" s="106">
        <f>278639.3</f>
        <v>278639.3</v>
      </c>
      <c r="F7" s="106">
        <f>636911.9</f>
        <v>636911.9</v>
      </c>
      <c r="G7" s="107">
        <f>602374.21</f>
        <v>602374.21</v>
      </c>
    </row>
    <row r="8" spans="2:7" s="62" customFormat="1" ht="44.25" customHeight="1" x14ac:dyDescent="0.25">
      <c r="B8" s="91" t="s">
        <v>192</v>
      </c>
      <c r="C8" s="93">
        <v>299371</v>
      </c>
      <c r="D8" s="86">
        <f>C8/C6*D6</f>
        <v>49066.680131056877</v>
      </c>
      <c r="E8" s="86">
        <f>C8/C6*E6</f>
        <v>49165.666574485993</v>
      </c>
      <c r="F8" s="86">
        <f>C8/C6*F6</f>
        <v>103655.0040519418</v>
      </c>
      <c r="G8" s="87">
        <f>C8/C6*G6</f>
        <v>97483.649242515326</v>
      </c>
    </row>
    <row r="9" spans="2:7" s="62" customFormat="1" ht="23.25" customHeight="1" x14ac:dyDescent="0.25">
      <c r="B9" s="91" t="s">
        <v>151</v>
      </c>
      <c r="C9" s="85">
        <f>SUM(D9:G9)</f>
        <v>90007.764693411082</v>
      </c>
      <c r="D9" s="85">
        <f>D8*30.2%</f>
        <v>14818.137399579176</v>
      </c>
      <c r="E9" s="85">
        <f t="shared" ref="E9:E11" si="0">E8*30.2%</f>
        <v>14848.031305494769</v>
      </c>
      <c r="F9" s="85">
        <f>F8*30%</f>
        <v>31096.501215582539</v>
      </c>
      <c r="G9" s="135">
        <f>G8*30%</f>
        <v>29245.094772754597</v>
      </c>
    </row>
    <row r="10" spans="2:7" s="62" customFormat="1" ht="30.75" customHeight="1" x14ac:dyDescent="0.25">
      <c r="B10" s="91" t="s">
        <v>150</v>
      </c>
      <c r="C10" s="85">
        <f>SUM(D10:G10)</f>
        <v>707409</v>
      </c>
      <c r="D10" s="85">
        <v>127332</v>
      </c>
      <c r="E10" s="85">
        <v>127332</v>
      </c>
      <c r="F10" s="85">
        <f>187935+49132</f>
        <v>237067</v>
      </c>
      <c r="G10" s="135">
        <f>264810-49132</f>
        <v>215678</v>
      </c>
    </row>
    <row r="11" spans="2:7" s="62" customFormat="1" ht="22.5" customHeight="1" x14ac:dyDescent="0.25">
      <c r="B11" s="91" t="s">
        <v>151</v>
      </c>
      <c r="C11" s="85">
        <v>90108</v>
      </c>
      <c r="D11" s="85">
        <f>D10*30.2%</f>
        <v>38454.263999999996</v>
      </c>
      <c r="E11" s="85">
        <f t="shared" si="0"/>
        <v>38454.263999999996</v>
      </c>
      <c r="F11" s="85">
        <f>F10*30%</f>
        <v>71120.099999999991</v>
      </c>
      <c r="G11" s="135">
        <f>G10*30%</f>
        <v>64703.399999999994</v>
      </c>
    </row>
    <row r="12" spans="2:7" s="62" customFormat="1" ht="30.75" customHeight="1" x14ac:dyDescent="0.25">
      <c r="B12" s="91" t="s">
        <v>141</v>
      </c>
      <c r="C12" s="93">
        <v>163259</v>
      </c>
      <c r="D12" s="86">
        <f>C12/C6*D6</f>
        <v>26758.026433810268</v>
      </c>
      <c r="E12" s="86">
        <f>C12/C6*E6</f>
        <v>26812.007707105928</v>
      </c>
      <c r="F12" s="86">
        <f>C12/C6*F6</f>
        <v>56527.226439822043</v>
      </c>
      <c r="G12" s="87">
        <f>C12/C6*G6</f>
        <v>53161.73941926175</v>
      </c>
    </row>
    <row r="13" spans="2:7" s="65" customFormat="1" ht="27" customHeight="1" x14ac:dyDescent="0.25">
      <c r="B13" s="81" t="s">
        <v>168</v>
      </c>
      <c r="C13" s="82">
        <v>13200</v>
      </c>
      <c r="D13" s="83">
        <v>2163.4699999999998</v>
      </c>
      <c r="E13" s="83">
        <v>2167.83</v>
      </c>
      <c r="F13" s="83">
        <v>4570.3999999999996</v>
      </c>
      <c r="G13" s="84">
        <v>4298.3</v>
      </c>
    </row>
    <row r="14" spans="2:7" s="62" customFormat="1" ht="25.5" customHeight="1" x14ac:dyDescent="0.25">
      <c r="B14" s="91" t="s">
        <v>154</v>
      </c>
      <c r="C14" s="93">
        <v>24477</v>
      </c>
      <c r="D14" s="86">
        <f>C14/C6*D6</f>
        <v>4011.7617590477339</v>
      </c>
      <c r="E14" s="86">
        <f>C14/C6*E6</f>
        <v>4019.8550318624507</v>
      </c>
      <c r="F14" s="86">
        <f>C14/C6*F6</f>
        <v>8474.980990741853</v>
      </c>
      <c r="G14" s="87">
        <f>C14/C6*G6</f>
        <v>7970.4022183479619</v>
      </c>
    </row>
    <row r="15" spans="2:7" s="62" customFormat="1" ht="33" customHeight="1" x14ac:dyDescent="0.25">
      <c r="B15" s="118" t="s">
        <v>194</v>
      </c>
      <c r="C15" s="119">
        <f>SUM(D15:G15)</f>
        <v>334913</v>
      </c>
      <c r="D15" s="119">
        <f>9000*1.272</f>
        <v>11448</v>
      </c>
      <c r="E15" s="119">
        <f>9575*1.272</f>
        <v>12179.4</v>
      </c>
      <c r="F15" s="119">
        <v>110405</v>
      </c>
      <c r="G15" s="120">
        <f>157925*1.272</f>
        <v>200880.6</v>
      </c>
    </row>
    <row r="16" spans="2:7" s="62" customFormat="1" ht="30" customHeight="1" x14ac:dyDescent="0.25">
      <c r="B16" s="116" t="s">
        <v>213</v>
      </c>
      <c r="C16" s="117">
        <f>SUM(D16:G16)</f>
        <v>221000</v>
      </c>
      <c r="D16" s="115">
        <v>68520</v>
      </c>
      <c r="E16" s="115">
        <v>11120</v>
      </c>
      <c r="F16" s="115">
        <v>71110</v>
      </c>
      <c r="G16" s="114">
        <v>70250</v>
      </c>
    </row>
    <row r="17" spans="2:7" s="62" customFormat="1" ht="31.5" customHeight="1" thickBot="1" x14ac:dyDescent="0.3">
      <c r="B17" s="92" t="s">
        <v>215</v>
      </c>
      <c r="C17" s="94">
        <f>SUM(D17:G17)</f>
        <v>128088</v>
      </c>
      <c r="D17" s="94">
        <f>2925+27480</f>
        <v>30405</v>
      </c>
      <c r="E17" s="94">
        <f>2925+27622</f>
        <v>30547</v>
      </c>
      <c r="F17" s="94">
        <f>2925+37672</f>
        <v>40597</v>
      </c>
      <c r="G17" s="90">
        <f>2925+23614</f>
        <v>26539</v>
      </c>
    </row>
    <row r="18" spans="2:7" ht="29.25" customHeight="1" thickBot="1" x14ac:dyDescent="0.3">
      <c r="B18" s="80" t="s">
        <v>216</v>
      </c>
      <c r="C18" s="88">
        <f>SUM(C8:C17)</f>
        <v>2071832.7646934111</v>
      </c>
      <c r="D18" s="88">
        <f>SUM(D8:D17)</f>
        <v>372977.33972349402</v>
      </c>
      <c r="E18" s="88">
        <f>SUM(E8:E17)</f>
        <v>316646.05461894913</v>
      </c>
      <c r="F18" s="88">
        <f>SUM(F8:F17)</f>
        <v>734623.21269808826</v>
      </c>
      <c r="G18" s="88">
        <f>SUM(G8:G17)</f>
        <v>770210.18565287965</v>
      </c>
    </row>
    <row r="19" spans="2:7" s="71" customFormat="1" ht="28.5" customHeight="1" x14ac:dyDescent="0.25">
      <c r="B19" s="121" t="s">
        <v>214</v>
      </c>
      <c r="C19" s="139">
        <v>178043.04</v>
      </c>
      <c r="D19" s="139">
        <v>71609.06</v>
      </c>
      <c r="E19" s="139">
        <v>28990.080000000002</v>
      </c>
      <c r="F19" s="139">
        <v>108315.93</v>
      </c>
      <c r="G19" s="138">
        <v>-30872.03</v>
      </c>
    </row>
    <row r="20" spans="2:7" s="71" customFormat="1" ht="8.25" customHeight="1" thickBot="1" x14ac:dyDescent="0.3">
      <c r="B20" s="79"/>
      <c r="C20" s="136"/>
      <c r="D20" s="136"/>
      <c r="E20" s="136"/>
      <c r="F20" s="136"/>
      <c r="G20" s="137"/>
    </row>
    <row r="21" spans="2:7" s="71" customFormat="1" ht="35.25" customHeight="1" thickBot="1" x14ac:dyDescent="0.3">
      <c r="B21" s="72" t="s">
        <v>163</v>
      </c>
      <c r="C21" s="89">
        <f>C7-C18+C19-C20</f>
        <v>-103002.92469341125</v>
      </c>
      <c r="D21" s="89">
        <f>D7-D18+D19-D20</f>
        <v>-28506.889723494009</v>
      </c>
      <c r="E21" s="89">
        <f>E7-E18+E19-E20</f>
        <v>-9016.6746189491387</v>
      </c>
      <c r="F21" s="89">
        <f>F7-F18+F19-F20</f>
        <v>10604.617301911756</v>
      </c>
      <c r="G21" s="89">
        <f>G7-G18+G19-G20</f>
        <v>-198708.00565287968</v>
      </c>
    </row>
    <row r="23" spans="2:7" x14ac:dyDescent="0.25">
      <c r="B23" s="74"/>
      <c r="C23" s="76"/>
    </row>
    <row r="24" spans="2:7" x14ac:dyDescent="0.25">
      <c r="B24" s="75"/>
      <c r="C24" s="34"/>
    </row>
    <row r="25" spans="2:7" x14ac:dyDescent="0.25">
      <c r="B25" s="78"/>
      <c r="D25" s="77"/>
    </row>
  </sheetData>
  <pageMargins left="0.51181102362204722" right="0.11811023622047245" top="0.35433070866141736" bottom="0.15748031496062992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opLeftCell="A2" workbookViewId="0">
      <selection activeCell="D22" sqref="D22:G22"/>
    </sheetView>
  </sheetViews>
  <sheetFormatPr defaultRowHeight="15" x14ac:dyDescent="0.25"/>
  <cols>
    <col min="1" max="1" width="5.42578125" customWidth="1"/>
    <col min="2" max="2" width="39.85546875" customWidth="1"/>
    <col min="3" max="3" width="17.85546875" customWidth="1"/>
    <col min="4" max="4" width="18.5703125" customWidth="1"/>
    <col min="5" max="5" width="18.42578125" customWidth="1"/>
    <col min="6" max="6" width="19" customWidth="1"/>
    <col min="7" max="7" width="17.85546875" customWidth="1"/>
  </cols>
  <sheetData>
    <row r="1" spans="2:7" ht="26.25" x14ac:dyDescent="0.25">
      <c r="D1" s="59" t="s">
        <v>165</v>
      </c>
    </row>
    <row r="2" spans="2:7" ht="26.25" x14ac:dyDescent="0.25">
      <c r="D2" s="59" t="s">
        <v>166</v>
      </c>
    </row>
    <row r="3" spans="2:7" ht="26.25" x14ac:dyDescent="0.25">
      <c r="D3" s="59" t="s">
        <v>167</v>
      </c>
    </row>
    <row r="4" spans="2:7" ht="15.75" thickBot="1" x14ac:dyDescent="0.3"/>
    <row r="5" spans="2:7" s="61" customFormat="1" ht="24" customHeight="1" thickBot="1" x14ac:dyDescent="0.3">
      <c r="B5" s="58" t="s">
        <v>67</v>
      </c>
      <c r="C5" s="60" t="s">
        <v>146</v>
      </c>
      <c r="D5" s="60" t="s">
        <v>147</v>
      </c>
      <c r="E5" s="60">
        <v>15</v>
      </c>
      <c r="F5" s="60">
        <v>7</v>
      </c>
      <c r="G5" s="60">
        <v>14</v>
      </c>
    </row>
    <row r="6" spans="2:7" s="62" customFormat="1" ht="27.75" customHeight="1" thickBot="1" x14ac:dyDescent="0.3">
      <c r="B6" s="64" t="s">
        <v>148</v>
      </c>
      <c r="C6" s="8">
        <v>16634</v>
      </c>
      <c r="D6" s="8">
        <v>2726.3</v>
      </c>
      <c r="E6" s="8">
        <v>2731.8</v>
      </c>
      <c r="F6" s="8">
        <v>5759.4</v>
      </c>
      <c r="G6" s="8">
        <v>5416.5</v>
      </c>
    </row>
    <row r="7" spans="2:7" s="68" customFormat="1" ht="27.75" customHeight="1" thickBot="1" x14ac:dyDescent="0.3">
      <c r="B7" s="66" t="s">
        <v>149</v>
      </c>
      <c r="C7" s="67">
        <v>2597533.0499999998</v>
      </c>
      <c r="D7" s="67">
        <v>446471.24</v>
      </c>
      <c r="E7" s="67">
        <v>396096.41</v>
      </c>
      <c r="F7" s="67">
        <v>893934.67</v>
      </c>
      <c r="G7" s="67">
        <v>861030.73</v>
      </c>
    </row>
    <row r="8" spans="2:7" s="62" customFormat="1" ht="37.5" customHeight="1" thickBot="1" x14ac:dyDescent="0.3">
      <c r="B8" s="64" t="s">
        <v>150</v>
      </c>
      <c r="C8" s="8">
        <v>867800</v>
      </c>
      <c r="D8" s="8">
        <v>141989.22</v>
      </c>
      <c r="E8" s="8">
        <v>142083.59</v>
      </c>
      <c r="F8" s="8">
        <v>291334.09999999998</v>
      </c>
      <c r="G8" s="8">
        <v>292393.09000000003</v>
      </c>
    </row>
    <row r="9" spans="2:7" s="62" customFormat="1" ht="18.75" x14ac:dyDescent="0.25">
      <c r="B9" s="212" t="s">
        <v>151</v>
      </c>
      <c r="C9" s="210">
        <v>302960.45</v>
      </c>
      <c r="D9" s="210">
        <v>46645.67</v>
      </c>
      <c r="E9" s="210">
        <v>46681.760000000002</v>
      </c>
      <c r="F9" s="210">
        <v>95936.44</v>
      </c>
      <c r="G9" s="63">
        <v>95783.73</v>
      </c>
    </row>
    <row r="10" spans="2:7" s="62" customFormat="1" ht="17.25" customHeight="1" thickBot="1" x14ac:dyDescent="0.3">
      <c r="B10" s="213"/>
      <c r="C10" s="211"/>
      <c r="D10" s="211"/>
      <c r="E10" s="211"/>
      <c r="F10" s="211"/>
      <c r="G10" s="8" t="s">
        <v>152</v>
      </c>
    </row>
    <row r="11" spans="2:7" s="62" customFormat="1" ht="27" customHeight="1" thickBot="1" x14ac:dyDescent="0.3">
      <c r="B11" s="64" t="s">
        <v>141</v>
      </c>
      <c r="C11" s="8">
        <v>191741.39</v>
      </c>
      <c r="D11" s="8">
        <v>31426.27</v>
      </c>
      <c r="E11" s="8">
        <v>31489.67</v>
      </c>
      <c r="F11" s="8">
        <v>66389.039999999994</v>
      </c>
      <c r="G11" s="8">
        <v>62436.41</v>
      </c>
    </row>
    <row r="12" spans="2:7" s="62" customFormat="1" ht="27" customHeight="1" thickBot="1" x14ac:dyDescent="0.3">
      <c r="B12" s="64" t="s">
        <v>153</v>
      </c>
      <c r="C12" s="8">
        <v>13200</v>
      </c>
      <c r="D12" s="8">
        <v>2163.4699999999998</v>
      </c>
      <c r="E12" s="8">
        <v>2167.83</v>
      </c>
      <c r="F12" s="8">
        <v>4570.3999999999996</v>
      </c>
      <c r="G12" s="8">
        <v>4298.3</v>
      </c>
    </row>
    <row r="13" spans="2:7" s="62" customFormat="1" ht="25.5" customHeight="1" thickBot="1" x14ac:dyDescent="0.3">
      <c r="B13" s="64" t="s">
        <v>154</v>
      </c>
      <c r="C13" s="8">
        <v>12200</v>
      </c>
      <c r="D13" s="8">
        <v>2009.53</v>
      </c>
      <c r="E13" s="8">
        <v>2012.38</v>
      </c>
      <c r="F13" s="8">
        <v>4177.6899999999996</v>
      </c>
      <c r="G13" s="8">
        <v>4000.4</v>
      </c>
    </row>
    <row r="14" spans="2:7" s="62" customFormat="1" ht="26.25" customHeight="1" thickBot="1" x14ac:dyDescent="0.3">
      <c r="B14" s="64" t="s">
        <v>155</v>
      </c>
      <c r="C14" s="8">
        <v>45756</v>
      </c>
      <c r="D14" s="8">
        <v>7499.37</v>
      </c>
      <c r="E14" s="8">
        <v>7514.5</v>
      </c>
      <c r="F14" s="8">
        <v>15842.68</v>
      </c>
      <c r="G14" s="8">
        <v>14899.45</v>
      </c>
    </row>
    <row r="15" spans="2:7" s="62" customFormat="1" ht="27.75" customHeight="1" thickBot="1" x14ac:dyDescent="0.3">
      <c r="B15" s="64" t="s">
        <v>156</v>
      </c>
      <c r="C15" s="8">
        <v>205135.47</v>
      </c>
      <c r="D15" s="8">
        <v>32919.03</v>
      </c>
      <c r="E15" s="8">
        <v>23015.61</v>
      </c>
      <c r="F15" s="8">
        <v>73988.350000000006</v>
      </c>
      <c r="G15" s="8">
        <v>75212.479999999996</v>
      </c>
    </row>
    <row r="16" spans="2:7" s="62" customFormat="1" ht="30" customHeight="1" thickBot="1" x14ac:dyDescent="0.3">
      <c r="B16" s="64" t="s">
        <v>157</v>
      </c>
      <c r="C16" s="8">
        <v>5307.64</v>
      </c>
      <c r="D16" s="8">
        <v>869.92</v>
      </c>
      <c r="E16" s="8">
        <v>871.67</v>
      </c>
      <c r="F16" s="8">
        <v>1837.73</v>
      </c>
      <c r="G16" s="8">
        <v>1728.32</v>
      </c>
    </row>
    <row r="17" spans="2:7" s="62" customFormat="1" ht="27" customHeight="1" thickBot="1" x14ac:dyDescent="0.3">
      <c r="B17" s="64" t="s">
        <v>158</v>
      </c>
      <c r="C17" s="8">
        <v>6855.74</v>
      </c>
      <c r="D17" s="8">
        <v>200</v>
      </c>
      <c r="E17" s="8">
        <v>1833</v>
      </c>
      <c r="F17" s="8">
        <v>2442.85</v>
      </c>
      <c r="G17" s="8">
        <v>2379.89</v>
      </c>
    </row>
    <row r="18" spans="2:7" s="62" customFormat="1" ht="17.25" customHeight="1" x14ac:dyDescent="0.25">
      <c r="B18" s="212" t="s">
        <v>159</v>
      </c>
      <c r="C18" s="210">
        <v>126744.37</v>
      </c>
      <c r="D18" s="210">
        <v>17436.73</v>
      </c>
      <c r="E18" s="210">
        <v>15031.38</v>
      </c>
      <c r="F18" s="210">
        <v>47997.55</v>
      </c>
      <c r="G18" s="210">
        <v>46278.71</v>
      </c>
    </row>
    <row r="19" spans="2:7" s="62" customFormat="1" ht="8.25" customHeight="1" thickBot="1" x14ac:dyDescent="0.3">
      <c r="B19" s="213"/>
      <c r="C19" s="211"/>
      <c r="D19" s="211"/>
      <c r="E19" s="211"/>
      <c r="F19" s="211"/>
      <c r="G19" s="211"/>
    </row>
    <row r="20" spans="2:7" ht="29.25" customHeight="1" thickBot="1" x14ac:dyDescent="0.3">
      <c r="B20" s="64" t="s">
        <v>160</v>
      </c>
      <c r="C20" s="5">
        <v>1777701.06</v>
      </c>
      <c r="D20" s="5">
        <v>283159.21000000002</v>
      </c>
      <c r="E20" s="5">
        <v>272701.39</v>
      </c>
      <c r="F20" s="5">
        <v>604516.82999999996</v>
      </c>
      <c r="G20" s="5">
        <v>617323.63</v>
      </c>
    </row>
    <row r="21" spans="2:7" s="71" customFormat="1" ht="22.5" customHeight="1" thickBot="1" x14ac:dyDescent="0.3">
      <c r="B21" s="69" t="s">
        <v>161</v>
      </c>
      <c r="C21" s="70">
        <v>819831.99</v>
      </c>
      <c r="D21" s="70">
        <v>163312.03</v>
      </c>
      <c r="E21" s="70">
        <v>123395.02</v>
      </c>
      <c r="F21" s="70">
        <v>289417.84000000003</v>
      </c>
      <c r="G21" s="70">
        <v>243707.1</v>
      </c>
    </row>
    <row r="22" spans="2:7" s="71" customFormat="1" ht="22.5" customHeight="1" thickBot="1" x14ac:dyDescent="0.3">
      <c r="B22" s="69" t="s">
        <v>162</v>
      </c>
      <c r="C22" s="70">
        <v>641788.94999999995</v>
      </c>
      <c r="D22" s="70">
        <v>91702.97</v>
      </c>
      <c r="E22" s="70">
        <v>94404.94</v>
      </c>
      <c r="F22" s="70">
        <v>181101.91</v>
      </c>
      <c r="G22" s="70">
        <v>274579.13</v>
      </c>
    </row>
    <row r="23" spans="2:7" s="71" customFormat="1" ht="35.25" customHeight="1" thickBot="1" x14ac:dyDescent="0.3">
      <c r="B23" s="72" t="s">
        <v>163</v>
      </c>
      <c r="C23" s="73">
        <v>178043.04</v>
      </c>
      <c r="D23" s="73">
        <v>71609.06</v>
      </c>
      <c r="E23" s="73">
        <v>28990.080000000002</v>
      </c>
      <c r="F23" s="73">
        <v>108315.93</v>
      </c>
      <c r="G23" s="73" t="s">
        <v>164</v>
      </c>
    </row>
  </sheetData>
  <mergeCells count="11">
    <mergeCell ref="G18:G19"/>
    <mergeCell ref="B9:B10"/>
    <mergeCell ref="C9:C10"/>
    <mergeCell ref="D9:D10"/>
    <mergeCell ref="E9:E10"/>
    <mergeCell ref="F9:F10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B6" sqref="B6:C7"/>
    </sheetView>
  </sheetViews>
  <sheetFormatPr defaultRowHeight="15" x14ac:dyDescent="0.25"/>
  <cols>
    <col min="2" max="2" width="47.85546875" customWidth="1"/>
    <col min="3" max="3" width="17.7109375" customWidth="1"/>
    <col min="6" max="6" width="35.7109375" customWidth="1"/>
  </cols>
  <sheetData>
    <row r="2" spans="2:7" ht="23.25" x14ac:dyDescent="0.25">
      <c r="B2" s="10" t="s">
        <v>34</v>
      </c>
    </row>
    <row r="3" spans="2:7" ht="20.25" x14ac:dyDescent="0.25">
      <c r="B3" s="11" t="s">
        <v>36</v>
      </c>
    </row>
    <row r="4" spans="2:7" ht="20.25" x14ac:dyDescent="0.3">
      <c r="B4" s="12" t="s">
        <v>37</v>
      </c>
    </row>
    <row r="5" spans="2:7" ht="19.5" thickBot="1" x14ac:dyDescent="0.3">
      <c r="B5" s="2" t="s">
        <v>1</v>
      </c>
      <c r="C5" s="5" t="s">
        <v>38</v>
      </c>
      <c r="D5" s="6"/>
    </row>
    <row r="6" spans="2:7" ht="27.75" customHeight="1" thickBot="1" x14ac:dyDescent="0.3">
      <c r="B6" s="7" t="s">
        <v>39</v>
      </c>
      <c r="C6" s="5">
        <v>2188.36</v>
      </c>
      <c r="D6" s="3"/>
    </row>
    <row r="7" spans="2:7" ht="24" customHeight="1" thickBot="1" x14ac:dyDescent="0.3">
      <c r="B7" s="7" t="s">
        <v>40</v>
      </c>
      <c r="C7" s="5" t="s">
        <v>41</v>
      </c>
      <c r="D7" s="3"/>
      <c r="F7" s="9" t="s">
        <v>46</v>
      </c>
    </row>
    <row r="8" spans="2:7" ht="19.5" thickBot="1" x14ac:dyDescent="0.3">
      <c r="B8" s="2" t="s">
        <v>6</v>
      </c>
      <c r="C8" s="5">
        <v>1082679.96</v>
      </c>
      <c r="D8" s="3"/>
      <c r="F8" s="9" t="s">
        <v>47</v>
      </c>
    </row>
    <row r="9" spans="2:7" ht="19.5" thickBot="1" x14ac:dyDescent="0.3">
      <c r="B9" s="7" t="s">
        <v>7</v>
      </c>
      <c r="C9" s="8">
        <v>1079341.76</v>
      </c>
      <c r="D9" s="3"/>
      <c r="F9" s="9" t="s">
        <v>48</v>
      </c>
    </row>
    <row r="10" spans="2:7" ht="19.5" thickBot="1" x14ac:dyDescent="0.3">
      <c r="B10" s="2" t="s">
        <v>10</v>
      </c>
      <c r="C10" s="5">
        <v>1074506.71</v>
      </c>
      <c r="D10" s="3"/>
      <c r="F10" s="13" t="s">
        <v>49</v>
      </c>
    </row>
    <row r="11" spans="2:7" ht="19.5" thickBot="1" x14ac:dyDescent="0.3">
      <c r="B11" s="7" t="s">
        <v>11</v>
      </c>
      <c r="C11" s="8"/>
      <c r="D11" s="3"/>
      <c r="F11" s="9" t="s">
        <v>50</v>
      </c>
      <c r="G11" s="9" t="s">
        <v>51</v>
      </c>
    </row>
    <row r="12" spans="2:7" ht="19.5" thickBot="1" x14ac:dyDescent="0.3">
      <c r="B12" s="7" t="s">
        <v>12</v>
      </c>
      <c r="C12" s="8"/>
      <c r="D12" s="3"/>
      <c r="F12" s="9" t="s">
        <v>52</v>
      </c>
      <c r="G12" s="9" t="s">
        <v>53</v>
      </c>
    </row>
    <row r="13" spans="2:7" ht="19.5" thickBot="1" x14ac:dyDescent="0.3">
      <c r="B13" s="7" t="s">
        <v>13</v>
      </c>
      <c r="C13" s="8">
        <v>800000</v>
      </c>
      <c r="D13" s="3"/>
      <c r="F13" s="9" t="s">
        <v>54</v>
      </c>
      <c r="G13" s="9" t="s">
        <v>55</v>
      </c>
    </row>
    <row r="14" spans="2:7" ht="19.5" thickBot="1" x14ac:dyDescent="0.3">
      <c r="B14" s="7" t="s">
        <v>14</v>
      </c>
      <c r="C14" s="8">
        <v>25285.81</v>
      </c>
      <c r="D14" s="3"/>
      <c r="F14" s="9" t="s">
        <v>56</v>
      </c>
      <c r="G14" s="9" t="s">
        <v>57</v>
      </c>
    </row>
    <row r="15" spans="2:7" ht="19.5" thickBot="1" x14ac:dyDescent="0.3">
      <c r="B15" s="7" t="s">
        <v>15</v>
      </c>
      <c r="C15" s="8"/>
      <c r="D15" s="3"/>
      <c r="F15" s="9" t="s">
        <v>58</v>
      </c>
      <c r="G15" s="9" t="s">
        <v>59</v>
      </c>
    </row>
    <row r="16" spans="2:7" ht="19.5" thickBot="1" x14ac:dyDescent="0.3">
      <c r="B16" s="7" t="s">
        <v>16</v>
      </c>
      <c r="C16" s="8">
        <v>16800</v>
      </c>
      <c r="D16" s="3"/>
      <c r="F16" s="9" t="s">
        <v>60</v>
      </c>
      <c r="G16" s="9" t="s">
        <v>61</v>
      </c>
    </row>
    <row r="17" spans="2:6" ht="19.5" thickBot="1" x14ac:dyDescent="0.3">
      <c r="B17" s="7" t="s">
        <v>17</v>
      </c>
      <c r="C17" s="5">
        <v>232420.9</v>
      </c>
      <c r="D17" s="3"/>
      <c r="F17" s="9" t="s">
        <v>62</v>
      </c>
    </row>
    <row r="18" spans="2:6" ht="19.5" thickBot="1" x14ac:dyDescent="0.3">
      <c r="B18" s="7" t="s">
        <v>18</v>
      </c>
      <c r="C18" s="8">
        <v>20000</v>
      </c>
      <c r="D18" s="3"/>
      <c r="F18" s="9" t="s">
        <v>63</v>
      </c>
    </row>
    <row r="19" spans="2:6" ht="19.5" thickBot="1" x14ac:dyDescent="0.3">
      <c r="B19" s="7" t="s">
        <v>21</v>
      </c>
      <c r="C19" s="8">
        <v>80767</v>
      </c>
      <c r="D19" s="3"/>
      <c r="F19" s="14" t="s">
        <v>64</v>
      </c>
    </row>
    <row r="20" spans="2:6" ht="19.5" thickBot="1" x14ac:dyDescent="0.3">
      <c r="B20" s="7" t="s">
        <v>22</v>
      </c>
      <c r="C20" s="8">
        <v>29042.93</v>
      </c>
      <c r="D20" s="3"/>
      <c r="F20" s="9"/>
    </row>
    <row r="21" spans="2:6" ht="19.5" thickBot="1" x14ac:dyDescent="0.3">
      <c r="B21" s="7" t="s">
        <v>23</v>
      </c>
      <c r="C21" s="8">
        <v>65995.149999999994</v>
      </c>
      <c r="D21" s="3"/>
      <c r="F21" s="13" t="s">
        <v>65</v>
      </c>
    </row>
    <row r="22" spans="2:6" ht="19.5" thickBot="1" x14ac:dyDescent="0.3">
      <c r="B22" s="7" t="s">
        <v>24</v>
      </c>
      <c r="C22" s="8">
        <v>3813</v>
      </c>
      <c r="D22" s="3"/>
    </row>
    <row r="23" spans="2:6" ht="19.5" thickBot="1" x14ac:dyDescent="0.3">
      <c r="B23" s="7" t="s">
        <v>25</v>
      </c>
      <c r="C23" s="8">
        <v>17919.82</v>
      </c>
      <c r="D23" s="3"/>
    </row>
    <row r="24" spans="2:6" ht="19.5" thickBot="1" x14ac:dyDescent="0.3">
      <c r="B24" s="7" t="s">
        <v>26</v>
      </c>
      <c r="C24" s="8" t="s">
        <v>42</v>
      </c>
      <c r="D24" s="3"/>
    </row>
    <row r="25" spans="2:6" ht="19.5" thickBot="1" x14ac:dyDescent="0.3">
      <c r="B25" s="7" t="s">
        <v>28</v>
      </c>
      <c r="C25" s="8">
        <v>1100</v>
      </c>
      <c r="D25" s="3"/>
    </row>
    <row r="26" spans="2:6" ht="19.5" thickBot="1" x14ac:dyDescent="0.3">
      <c r="B26" s="7" t="s">
        <v>30</v>
      </c>
      <c r="C26" s="8" t="s">
        <v>43</v>
      </c>
      <c r="D26" s="3"/>
    </row>
    <row r="27" spans="2:6" ht="25.5" customHeight="1" thickBot="1" x14ac:dyDescent="0.3">
      <c r="B27" s="7" t="s">
        <v>44</v>
      </c>
      <c r="C27" s="5">
        <v>3016.36</v>
      </c>
      <c r="D27" s="3"/>
    </row>
    <row r="28" spans="2:6" ht="23.25" customHeight="1" thickBot="1" x14ac:dyDescent="0.3">
      <c r="B28" s="7" t="s">
        <v>45</v>
      </c>
      <c r="C28" s="5">
        <v>15234.48</v>
      </c>
      <c r="D2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G17" sqref="G17"/>
    </sheetView>
  </sheetViews>
  <sheetFormatPr defaultRowHeight="15" x14ac:dyDescent="0.25"/>
  <cols>
    <col min="2" max="2" width="55" customWidth="1"/>
    <col min="3" max="3" width="18.42578125" customWidth="1"/>
    <col min="7" max="7" width="35.85546875" customWidth="1"/>
  </cols>
  <sheetData>
    <row r="2" spans="2:8" ht="23.25" x14ac:dyDescent="0.25">
      <c r="B2" s="10" t="s">
        <v>34</v>
      </c>
    </row>
    <row r="3" spans="2:8" ht="20.25" x14ac:dyDescent="0.25">
      <c r="B3" s="11" t="s">
        <v>66</v>
      </c>
    </row>
    <row r="4" spans="2:8" ht="21" thickBot="1" x14ac:dyDescent="0.35">
      <c r="B4" s="12" t="s">
        <v>37</v>
      </c>
    </row>
    <row r="5" spans="2:8" ht="18.75" x14ac:dyDescent="0.25">
      <c r="B5" s="15"/>
      <c r="C5" s="17"/>
      <c r="D5" s="6"/>
      <c r="G5" s="9" t="s">
        <v>76</v>
      </c>
    </row>
    <row r="6" spans="2:8" ht="19.5" thickBot="1" x14ac:dyDescent="0.3">
      <c r="B6" s="16" t="s">
        <v>67</v>
      </c>
      <c r="C6" s="5" t="s">
        <v>38</v>
      </c>
      <c r="D6" s="6"/>
      <c r="G6" s="9" t="s">
        <v>77</v>
      </c>
    </row>
    <row r="7" spans="2:8" ht="19.5" thickBot="1" x14ac:dyDescent="0.3">
      <c r="B7" s="7" t="s">
        <v>68</v>
      </c>
      <c r="C7" s="5">
        <v>3016.36</v>
      </c>
      <c r="D7" s="3"/>
      <c r="G7" s="9" t="s">
        <v>78</v>
      </c>
    </row>
    <row r="8" spans="2:8" ht="19.5" thickBot="1" x14ac:dyDescent="0.3">
      <c r="B8" s="7" t="s">
        <v>69</v>
      </c>
      <c r="C8" s="5" t="s">
        <v>70</v>
      </c>
      <c r="D8" s="3"/>
      <c r="G8" s="13" t="s">
        <v>49</v>
      </c>
    </row>
    <row r="9" spans="2:8" ht="19.5" thickBot="1" x14ac:dyDescent="0.3">
      <c r="B9" s="2" t="s">
        <v>6</v>
      </c>
      <c r="C9" s="5">
        <v>1026828.73</v>
      </c>
      <c r="D9" s="3"/>
      <c r="G9" s="9" t="s">
        <v>79</v>
      </c>
      <c r="H9" s="9" t="s">
        <v>80</v>
      </c>
    </row>
    <row r="10" spans="2:8" ht="19.5" thickBot="1" x14ac:dyDescent="0.3">
      <c r="B10" s="7" t="s">
        <v>7</v>
      </c>
      <c r="C10" s="8">
        <v>1026828.73</v>
      </c>
      <c r="D10" s="3"/>
      <c r="G10" s="9" t="s">
        <v>81</v>
      </c>
    </row>
    <row r="11" spans="2:8" ht="19.5" thickBot="1" x14ac:dyDescent="0.3">
      <c r="B11" s="2" t="s">
        <v>10</v>
      </c>
      <c r="C11" s="5">
        <v>817343.89</v>
      </c>
      <c r="D11" s="3"/>
      <c r="G11" s="9" t="s">
        <v>82</v>
      </c>
    </row>
    <row r="12" spans="2:8" ht="19.5" thickBot="1" x14ac:dyDescent="0.3">
      <c r="B12" s="7" t="s">
        <v>11</v>
      </c>
      <c r="C12" s="8">
        <v>98473.26</v>
      </c>
      <c r="D12" s="3"/>
      <c r="G12" s="9" t="s">
        <v>83</v>
      </c>
    </row>
    <row r="13" spans="2:8" ht="19.5" thickBot="1" x14ac:dyDescent="0.3">
      <c r="B13" s="7" t="s">
        <v>12</v>
      </c>
      <c r="C13" s="8">
        <v>67373.84</v>
      </c>
      <c r="D13" s="3"/>
      <c r="G13" s="9" t="s">
        <v>84</v>
      </c>
    </row>
    <row r="14" spans="2:8" ht="19.5" thickBot="1" x14ac:dyDescent="0.3">
      <c r="B14" s="7" t="s">
        <v>13</v>
      </c>
      <c r="C14" s="8">
        <v>400000</v>
      </c>
      <c r="D14" s="3"/>
      <c r="G14" s="9" t="s">
        <v>85</v>
      </c>
    </row>
    <row r="15" spans="2:8" ht="19.5" thickBot="1" x14ac:dyDescent="0.3">
      <c r="B15" s="7" t="s">
        <v>14</v>
      </c>
      <c r="C15" s="8">
        <v>25285.81</v>
      </c>
      <c r="D15" s="3"/>
      <c r="G15" s="14" t="s">
        <v>86</v>
      </c>
    </row>
    <row r="16" spans="2:8" ht="19.5" thickBot="1" x14ac:dyDescent="0.3">
      <c r="B16" s="7" t="s">
        <v>16</v>
      </c>
      <c r="C16" s="8">
        <v>17062</v>
      </c>
      <c r="D16" s="3"/>
      <c r="G16" s="13" t="s">
        <v>87</v>
      </c>
    </row>
    <row r="17" spans="2:4" ht="19.5" thickBot="1" x14ac:dyDescent="0.3">
      <c r="B17" s="7" t="s">
        <v>17</v>
      </c>
      <c r="C17" s="5">
        <v>209148.98</v>
      </c>
      <c r="D17" s="3"/>
    </row>
    <row r="18" spans="2:4" ht="19.5" thickBot="1" x14ac:dyDescent="0.3">
      <c r="B18" s="7" t="s">
        <v>18</v>
      </c>
      <c r="C18" s="8">
        <v>14000</v>
      </c>
      <c r="D18" s="3"/>
    </row>
    <row r="19" spans="2:4" ht="19.5" thickBot="1" x14ac:dyDescent="0.3">
      <c r="B19" s="7" t="s">
        <v>71</v>
      </c>
      <c r="C19" s="8">
        <v>1526.74</v>
      </c>
      <c r="D19" s="3"/>
    </row>
    <row r="20" spans="2:4" ht="19.5" thickBot="1" x14ac:dyDescent="0.3">
      <c r="B20" s="7" t="s">
        <v>72</v>
      </c>
      <c r="C20" s="8">
        <v>669.16</v>
      </c>
      <c r="D20" s="3"/>
    </row>
    <row r="21" spans="2:4" ht="19.5" thickBot="1" x14ac:dyDescent="0.3">
      <c r="B21" s="7" t="s">
        <v>21</v>
      </c>
      <c r="C21" s="8">
        <v>73746</v>
      </c>
      <c r="D21" s="3"/>
    </row>
    <row r="22" spans="2:4" ht="19.5" thickBot="1" x14ac:dyDescent="0.3">
      <c r="B22" s="7" t="s">
        <v>22</v>
      </c>
      <c r="C22" s="8">
        <v>27298.3</v>
      </c>
      <c r="D22" s="3"/>
    </row>
    <row r="23" spans="2:4" ht="19.5" thickBot="1" x14ac:dyDescent="0.3">
      <c r="B23" s="7" t="s">
        <v>23</v>
      </c>
      <c r="C23" s="8">
        <v>65040.05</v>
      </c>
      <c r="D23" s="3"/>
    </row>
    <row r="24" spans="2:4" ht="19.5" thickBot="1" x14ac:dyDescent="0.3">
      <c r="B24" s="7" t="s">
        <v>24</v>
      </c>
      <c r="C24" s="8">
        <v>3813</v>
      </c>
      <c r="D24" s="3"/>
    </row>
    <row r="25" spans="2:4" ht="19.5" thickBot="1" x14ac:dyDescent="0.3">
      <c r="B25" s="7" t="s">
        <v>25</v>
      </c>
      <c r="C25" s="8">
        <v>16500.73</v>
      </c>
      <c r="D25" s="3"/>
    </row>
    <row r="26" spans="2:4" ht="19.5" thickBot="1" x14ac:dyDescent="0.3">
      <c r="B26" s="7" t="s">
        <v>26</v>
      </c>
      <c r="C26" s="8" t="s">
        <v>42</v>
      </c>
      <c r="D26" s="3"/>
    </row>
    <row r="27" spans="2:4" ht="19.5" thickBot="1" x14ac:dyDescent="0.3">
      <c r="B27" s="7" t="s">
        <v>28</v>
      </c>
      <c r="C27" s="8">
        <v>1100</v>
      </c>
      <c r="D27" s="3"/>
    </row>
    <row r="28" spans="2:4" ht="19.5" thickBot="1" x14ac:dyDescent="0.3">
      <c r="B28" s="7" t="s">
        <v>30</v>
      </c>
      <c r="C28" s="8" t="s">
        <v>73</v>
      </c>
      <c r="D28" s="3"/>
    </row>
    <row r="29" spans="2:4" ht="19.5" thickBot="1" x14ac:dyDescent="0.3">
      <c r="B29" s="7" t="s">
        <v>74</v>
      </c>
      <c r="C29" s="5">
        <v>1900.36</v>
      </c>
      <c r="D29" s="3"/>
    </row>
    <row r="30" spans="2:4" ht="19.5" thickBot="1" x14ac:dyDescent="0.3">
      <c r="B30" s="7" t="s">
        <v>75</v>
      </c>
      <c r="C30" s="5">
        <v>225835.32</v>
      </c>
      <c r="D30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opLeftCell="A7" workbookViewId="0">
      <selection activeCell="B33" sqref="B33"/>
    </sheetView>
  </sheetViews>
  <sheetFormatPr defaultRowHeight="15" x14ac:dyDescent="0.25"/>
  <cols>
    <col min="2" max="2" width="49.28515625" customWidth="1"/>
    <col min="3" max="3" width="18" customWidth="1"/>
    <col min="7" max="7" width="36.5703125" customWidth="1"/>
  </cols>
  <sheetData>
    <row r="2" spans="2:7" ht="23.25" x14ac:dyDescent="0.25">
      <c r="B2" s="10" t="s">
        <v>34</v>
      </c>
    </row>
    <row r="3" spans="2:7" ht="20.25" x14ac:dyDescent="0.25">
      <c r="B3" s="11" t="s">
        <v>88</v>
      </c>
    </row>
    <row r="4" spans="2:7" ht="15.75" thickBot="1" x14ac:dyDescent="0.3"/>
    <row r="5" spans="2:7" ht="18.75" x14ac:dyDescent="0.25">
      <c r="B5" s="15"/>
      <c r="C5" s="17"/>
      <c r="D5" s="6"/>
    </row>
    <row r="6" spans="2:7" ht="19.5" thickBot="1" x14ac:dyDescent="0.3">
      <c r="B6" s="16" t="s">
        <v>67</v>
      </c>
      <c r="C6" s="5" t="s">
        <v>38</v>
      </c>
      <c r="D6" s="6"/>
    </row>
    <row r="7" spans="2:7" ht="19.5" thickBot="1" x14ac:dyDescent="0.3">
      <c r="B7" s="7" t="s">
        <v>89</v>
      </c>
      <c r="C7" s="5">
        <v>1900.36</v>
      </c>
      <c r="D7" s="3"/>
      <c r="G7" s="9" t="s">
        <v>95</v>
      </c>
    </row>
    <row r="8" spans="2:7" ht="19.5" thickBot="1" x14ac:dyDescent="0.3">
      <c r="B8" s="7" t="s">
        <v>90</v>
      </c>
      <c r="C8" s="5" t="s">
        <v>91</v>
      </c>
      <c r="D8" s="3"/>
      <c r="G8" s="9" t="s">
        <v>96</v>
      </c>
    </row>
    <row r="9" spans="2:7" ht="19.5" thickBot="1" x14ac:dyDescent="0.3">
      <c r="B9" s="2" t="s">
        <v>6</v>
      </c>
      <c r="C9" s="5">
        <v>1399044.05</v>
      </c>
      <c r="D9" s="3"/>
      <c r="G9" s="9" t="s">
        <v>78</v>
      </c>
    </row>
    <row r="10" spans="2:7" ht="19.5" thickBot="1" x14ac:dyDescent="0.3">
      <c r="B10" s="7" t="s">
        <v>7</v>
      </c>
      <c r="C10" s="8">
        <v>1399044.05</v>
      </c>
      <c r="D10" s="3"/>
      <c r="G10" s="13" t="s">
        <v>49</v>
      </c>
    </row>
    <row r="11" spans="2:7" ht="19.5" thickBot="1" x14ac:dyDescent="0.3">
      <c r="B11" s="2" t="s">
        <v>10</v>
      </c>
      <c r="C11" s="5">
        <v>1485841.28</v>
      </c>
      <c r="D11" s="3"/>
      <c r="G11" s="9" t="s">
        <v>97</v>
      </c>
    </row>
    <row r="12" spans="2:7" ht="19.5" thickBot="1" x14ac:dyDescent="0.3">
      <c r="B12" s="7" t="s">
        <v>11</v>
      </c>
      <c r="C12" s="8">
        <v>49236.63</v>
      </c>
      <c r="D12" s="3"/>
      <c r="G12" s="9" t="s">
        <v>98</v>
      </c>
    </row>
    <row r="13" spans="2:7" ht="19.5" thickBot="1" x14ac:dyDescent="0.3">
      <c r="B13" s="7" t="s">
        <v>12</v>
      </c>
      <c r="C13" s="8">
        <v>29665.42</v>
      </c>
      <c r="D13" s="3"/>
      <c r="G13" s="9" t="s">
        <v>85</v>
      </c>
    </row>
    <row r="14" spans="2:7" ht="19.5" thickBot="1" x14ac:dyDescent="0.3">
      <c r="B14" s="7" t="s">
        <v>13</v>
      </c>
      <c r="C14" s="8">
        <v>1120000</v>
      </c>
      <c r="D14" s="3"/>
      <c r="G14" s="9" t="s">
        <v>99</v>
      </c>
    </row>
    <row r="15" spans="2:7" ht="19.5" thickBot="1" x14ac:dyDescent="0.3">
      <c r="B15" s="7" t="s">
        <v>14</v>
      </c>
      <c r="C15" s="8">
        <v>25285.81</v>
      </c>
      <c r="D15" s="3"/>
      <c r="G15" s="14" t="s">
        <v>100</v>
      </c>
    </row>
    <row r="16" spans="2:7" ht="19.5" thickBot="1" x14ac:dyDescent="0.3">
      <c r="B16" s="7" t="s">
        <v>16</v>
      </c>
      <c r="C16" s="8">
        <v>16933</v>
      </c>
      <c r="D16" s="3"/>
      <c r="G16" s="13" t="s">
        <v>101</v>
      </c>
    </row>
    <row r="17" spans="2:4" ht="19.5" thickBot="1" x14ac:dyDescent="0.3">
      <c r="B17" s="7" t="s">
        <v>15</v>
      </c>
      <c r="C17" s="8">
        <v>18071.21</v>
      </c>
      <c r="D17" s="3"/>
    </row>
    <row r="18" spans="2:4" ht="19.5" thickBot="1" x14ac:dyDescent="0.3">
      <c r="B18" s="7" t="s">
        <v>17</v>
      </c>
      <c r="C18" s="18">
        <v>226649.21</v>
      </c>
      <c r="D18" s="3"/>
    </row>
    <row r="19" spans="2:4" ht="19.5" thickBot="1" x14ac:dyDescent="0.3">
      <c r="B19" s="7" t="s">
        <v>18</v>
      </c>
      <c r="C19" s="8">
        <v>14000</v>
      </c>
      <c r="D19" s="3"/>
    </row>
    <row r="20" spans="2:4" ht="19.5" thickBot="1" x14ac:dyDescent="0.3">
      <c r="B20" s="7" t="s">
        <v>71</v>
      </c>
      <c r="C20" s="8">
        <v>763.37</v>
      </c>
      <c r="D20" s="3"/>
    </row>
    <row r="21" spans="2:4" ht="19.5" thickBot="1" x14ac:dyDescent="0.3">
      <c r="B21" s="7" t="s">
        <v>72</v>
      </c>
      <c r="C21" s="8">
        <v>334.58</v>
      </c>
      <c r="D21" s="3"/>
    </row>
    <row r="22" spans="2:4" ht="19.5" thickBot="1" x14ac:dyDescent="0.3">
      <c r="B22" s="7" t="s">
        <v>21</v>
      </c>
      <c r="C22" s="8">
        <v>73847</v>
      </c>
      <c r="D22" s="3"/>
    </row>
    <row r="23" spans="2:4" ht="19.5" thickBot="1" x14ac:dyDescent="0.3">
      <c r="B23" s="7" t="s">
        <v>22</v>
      </c>
      <c r="C23" s="8">
        <v>27354.2</v>
      </c>
      <c r="D23" s="3"/>
    </row>
    <row r="24" spans="2:4" ht="19.5" thickBot="1" x14ac:dyDescent="0.3">
      <c r="B24" s="7" t="s">
        <v>23</v>
      </c>
      <c r="C24" s="8">
        <v>61443.15</v>
      </c>
      <c r="D24" s="3"/>
    </row>
    <row r="25" spans="2:4" ht="19.5" thickBot="1" x14ac:dyDescent="0.3">
      <c r="B25" s="7" t="s">
        <v>24</v>
      </c>
      <c r="C25" s="8">
        <v>3813</v>
      </c>
      <c r="D25" s="3"/>
    </row>
    <row r="26" spans="2:4" ht="19.5" thickBot="1" x14ac:dyDescent="0.3">
      <c r="B26" s="7" t="s">
        <v>25</v>
      </c>
      <c r="C26" s="8">
        <v>22429.79</v>
      </c>
      <c r="D26" s="3"/>
    </row>
    <row r="27" spans="2:4" ht="19.5" thickBot="1" x14ac:dyDescent="0.3">
      <c r="B27" s="7" t="s">
        <v>26</v>
      </c>
      <c r="C27" s="8" t="s">
        <v>42</v>
      </c>
      <c r="D27" s="3"/>
    </row>
    <row r="28" spans="2:4" ht="19.5" thickBot="1" x14ac:dyDescent="0.3">
      <c r="B28" s="7" t="s">
        <v>28</v>
      </c>
      <c r="C28" s="8">
        <v>1100</v>
      </c>
      <c r="D28" s="3"/>
    </row>
    <row r="29" spans="2:4" ht="19.5" thickBot="1" x14ac:dyDescent="0.3">
      <c r="B29" s="7" t="s">
        <v>30</v>
      </c>
      <c r="C29" s="8" t="s">
        <v>92</v>
      </c>
      <c r="D29" s="3"/>
    </row>
    <row r="30" spans="2:4" ht="19.5" thickBot="1" x14ac:dyDescent="0.3">
      <c r="B30" s="7" t="s">
        <v>29</v>
      </c>
      <c r="C30" s="8">
        <v>6048.12</v>
      </c>
      <c r="D30" s="3"/>
    </row>
    <row r="31" spans="2:4" ht="19.5" thickBot="1" x14ac:dyDescent="0.3">
      <c r="B31" s="7" t="s">
        <v>93</v>
      </c>
      <c r="C31" s="5">
        <v>650.36</v>
      </c>
      <c r="D31" s="3"/>
    </row>
    <row r="32" spans="2:4" ht="19.5" thickBot="1" x14ac:dyDescent="0.3">
      <c r="B32" s="7" t="s">
        <v>94</v>
      </c>
      <c r="C32" s="5">
        <v>140288.09</v>
      </c>
      <c r="D3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4"/>
  <sheetViews>
    <sheetView workbookViewId="0">
      <selection activeCell="C19" sqref="C19:C31"/>
    </sheetView>
  </sheetViews>
  <sheetFormatPr defaultRowHeight="15" x14ac:dyDescent="0.25"/>
  <cols>
    <col min="1" max="1" width="3.7109375" customWidth="1"/>
    <col min="2" max="2" width="49.28515625" customWidth="1"/>
    <col min="3" max="3" width="33.42578125" customWidth="1"/>
    <col min="4" max="4" width="6.7109375" customWidth="1"/>
    <col min="5" max="5" width="17.28515625" customWidth="1"/>
  </cols>
  <sheetData>
    <row r="2" spans="2:3" ht="23.25" x14ac:dyDescent="0.25">
      <c r="B2" s="10" t="s">
        <v>34</v>
      </c>
    </row>
    <row r="3" spans="2:3" ht="18.75" x14ac:dyDescent="0.25">
      <c r="B3" s="19" t="s">
        <v>102</v>
      </c>
    </row>
    <row r="4" spans="2:3" ht="15.75" thickBot="1" x14ac:dyDescent="0.3"/>
    <row r="5" spans="2:3" ht="18.75" x14ac:dyDescent="0.25">
      <c r="B5" s="15"/>
      <c r="C5" s="17"/>
    </row>
    <row r="6" spans="2:3" ht="18.75" x14ac:dyDescent="0.25">
      <c r="B6" s="148" t="s">
        <v>67</v>
      </c>
      <c r="C6" s="149"/>
    </row>
    <row r="7" spans="2:3" ht="18.75" x14ac:dyDescent="0.25">
      <c r="B7" s="151" t="s">
        <v>226</v>
      </c>
      <c r="C7" s="152">
        <v>7889.23</v>
      </c>
    </row>
    <row r="8" spans="2:3" ht="19.5" thickBot="1" x14ac:dyDescent="0.3">
      <c r="B8" s="153" t="s">
        <v>39</v>
      </c>
      <c r="C8" s="154">
        <v>2188.36</v>
      </c>
    </row>
    <row r="9" spans="2:3" ht="19.5" thickBot="1" x14ac:dyDescent="0.3">
      <c r="B9" s="146" t="s">
        <v>6</v>
      </c>
      <c r="C9" s="147">
        <f>SUM(C10:C12)</f>
        <v>9457355.5700000003</v>
      </c>
    </row>
    <row r="10" spans="2:3" ht="18.75" x14ac:dyDescent="0.25">
      <c r="B10" s="155" t="s">
        <v>228</v>
      </c>
      <c r="C10" s="156">
        <v>9411713.3200000003</v>
      </c>
    </row>
    <row r="11" spans="2:3" ht="18.75" x14ac:dyDescent="0.25">
      <c r="B11" s="151" t="s">
        <v>227</v>
      </c>
      <c r="C11" s="157">
        <v>44786.14</v>
      </c>
    </row>
    <row r="12" spans="2:3" ht="19.5" thickBot="1" x14ac:dyDescent="0.3">
      <c r="B12" s="153" t="s">
        <v>229</v>
      </c>
      <c r="C12" s="158">
        <v>856.11</v>
      </c>
    </row>
    <row r="13" spans="2:3" ht="19.5" thickBot="1" x14ac:dyDescent="0.3">
      <c r="B13" s="146" t="s">
        <v>10</v>
      </c>
      <c r="C13" s="150">
        <f>SUM(C14:C31)</f>
        <v>10154192.889999997</v>
      </c>
    </row>
    <row r="14" spans="2:3" ht="18.75" x14ac:dyDescent="0.25">
      <c r="B14" s="159" t="s">
        <v>103</v>
      </c>
      <c r="C14" s="156">
        <f>1062918</f>
        <v>1062918</v>
      </c>
    </row>
    <row r="15" spans="2:3" ht="18.75" x14ac:dyDescent="0.25">
      <c r="B15" s="151" t="s">
        <v>13</v>
      </c>
      <c r="C15" s="160">
        <v>4375373.1399999997</v>
      </c>
    </row>
    <row r="16" spans="2:3" ht="18.75" x14ac:dyDescent="0.25">
      <c r="B16" s="151" t="s">
        <v>14</v>
      </c>
      <c r="C16" s="160">
        <v>303429.71999999997</v>
      </c>
    </row>
    <row r="17" spans="2:3" ht="18.75" x14ac:dyDescent="0.25">
      <c r="B17" s="151" t="s">
        <v>16</v>
      </c>
      <c r="C17" s="160">
        <v>207718</v>
      </c>
    </row>
    <row r="18" spans="2:3" ht="18.75" x14ac:dyDescent="0.25">
      <c r="B18" s="151" t="s">
        <v>15</v>
      </c>
      <c r="C18" s="160">
        <v>33610.410000000003</v>
      </c>
    </row>
    <row r="19" spans="2:3" ht="18.75" x14ac:dyDescent="0.25">
      <c r="B19" s="151" t="s">
        <v>17</v>
      </c>
      <c r="C19" s="161">
        <v>1598829.35</v>
      </c>
    </row>
    <row r="20" spans="2:3" ht="18.75" x14ac:dyDescent="0.25">
      <c r="B20" s="151" t="s">
        <v>18</v>
      </c>
      <c r="C20" s="160">
        <v>201743.01</v>
      </c>
    </row>
    <row r="21" spans="2:3" ht="18.75" x14ac:dyDescent="0.25">
      <c r="B21" s="151" t="s">
        <v>71</v>
      </c>
      <c r="C21" s="160">
        <v>3816.85</v>
      </c>
    </row>
    <row r="22" spans="2:3" ht="18.75" x14ac:dyDescent="0.25">
      <c r="B22" s="162" t="s">
        <v>217</v>
      </c>
      <c r="C22" s="160">
        <v>2087.19</v>
      </c>
    </row>
    <row r="23" spans="2:3" ht="18.75" x14ac:dyDescent="0.25">
      <c r="B23" s="151" t="s">
        <v>21</v>
      </c>
      <c r="C23" s="160">
        <f>1151379.66+15577</f>
        <v>1166956.6599999999</v>
      </c>
    </row>
    <row r="24" spans="2:3" ht="18.75" x14ac:dyDescent="0.25">
      <c r="B24" s="151" t="s">
        <v>222</v>
      </c>
      <c r="C24" s="160">
        <f>372574+44786+1494+63</f>
        <v>418917</v>
      </c>
    </row>
    <row r="25" spans="2:3" ht="18.75" x14ac:dyDescent="0.25">
      <c r="B25" s="151" t="s">
        <v>23</v>
      </c>
      <c r="C25" s="163">
        <f>380915.65</f>
        <v>380915.65</v>
      </c>
    </row>
    <row r="26" spans="2:3" ht="18.75" x14ac:dyDescent="0.25">
      <c r="B26" s="151" t="s">
        <v>24</v>
      </c>
      <c r="C26" s="164">
        <f>3813+36000</f>
        <v>39813</v>
      </c>
    </row>
    <row r="27" spans="2:3" ht="18.75" x14ac:dyDescent="0.25">
      <c r="B27" s="151" t="s">
        <v>25</v>
      </c>
      <c r="C27" s="165">
        <v>163258.79</v>
      </c>
    </row>
    <row r="28" spans="2:3" ht="18.75" x14ac:dyDescent="0.25">
      <c r="B28" s="151" t="s">
        <v>26</v>
      </c>
      <c r="C28" s="166">
        <f>27920+3692</f>
        <v>31612</v>
      </c>
    </row>
    <row r="29" spans="2:3" ht="18.75" x14ac:dyDescent="0.25">
      <c r="B29" s="151" t="s">
        <v>28</v>
      </c>
      <c r="C29" s="165">
        <v>14300</v>
      </c>
    </row>
    <row r="30" spans="2:3" ht="18.75" x14ac:dyDescent="0.25">
      <c r="B30" s="151" t="s">
        <v>225</v>
      </c>
      <c r="C30" s="165">
        <f>128088+14758</f>
        <v>142846</v>
      </c>
    </row>
    <row r="31" spans="2:3" ht="19.5" thickBot="1" x14ac:dyDescent="0.3">
      <c r="B31" s="153" t="s">
        <v>29</v>
      </c>
      <c r="C31" s="167">
        <v>6048.12</v>
      </c>
    </row>
    <row r="32" spans="2:3" ht="18.75" x14ac:dyDescent="0.25">
      <c r="B32" s="155" t="s">
        <v>104</v>
      </c>
      <c r="C32" s="168">
        <v>13684.5</v>
      </c>
    </row>
    <row r="33" spans="2:5" ht="19.5" thickBot="1" x14ac:dyDescent="0.3">
      <c r="B33" s="153" t="s">
        <v>105</v>
      </c>
      <c r="C33" s="154">
        <v>866861.55</v>
      </c>
      <c r="E33" s="113">
        <f>C8+C7+C9-C13</f>
        <v>-686759.72999999672</v>
      </c>
    </row>
    <row r="34" spans="2:5" x14ac:dyDescent="0.25">
      <c r="C34" s="113">
        <f>SUM(C32:C33)</f>
        <v>880546.05</v>
      </c>
    </row>
  </sheetData>
  <pageMargins left="0.31496062992125984" right="0.11811023622047245" top="0.35433070866141736" bottom="0.35433070866141736" header="0.31496062992125984" footer="0.31496062992125984"/>
  <pageSetup paperSize="9" scale="5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0"/>
  <sheetViews>
    <sheetView workbookViewId="0">
      <selection activeCell="A5" sqref="A5:XFD5"/>
    </sheetView>
  </sheetViews>
  <sheetFormatPr defaultRowHeight="15" x14ac:dyDescent="0.25"/>
  <cols>
    <col min="1" max="1" width="7.85546875" customWidth="1"/>
    <col min="2" max="2" width="49.42578125" customWidth="1"/>
    <col min="3" max="3" width="33.28515625" customWidth="1"/>
  </cols>
  <sheetData>
    <row r="2" spans="2:3" ht="23.25" x14ac:dyDescent="0.25">
      <c r="B2" s="214" t="s">
        <v>34</v>
      </c>
      <c r="C2" s="214"/>
    </row>
    <row r="3" spans="2:3" ht="18.75" x14ac:dyDescent="0.25">
      <c r="B3" s="215" t="s">
        <v>102</v>
      </c>
      <c r="C3" s="215"/>
    </row>
    <row r="5" spans="2:3" ht="19.5" thickBot="1" x14ac:dyDescent="0.3">
      <c r="B5" s="16" t="s">
        <v>67</v>
      </c>
      <c r="C5" s="5"/>
    </row>
    <row r="6" spans="2:3" ht="19.5" thickBot="1" x14ac:dyDescent="0.3">
      <c r="B6" s="7" t="s">
        <v>39</v>
      </c>
      <c r="C6" s="169">
        <v>2188.36</v>
      </c>
    </row>
    <row r="7" spans="2:3" ht="19.5" thickBot="1" x14ac:dyDescent="0.3">
      <c r="B7" s="7" t="s">
        <v>40</v>
      </c>
      <c r="C7" s="169">
        <v>7889.23</v>
      </c>
    </row>
    <row r="8" spans="2:3" ht="19.5" thickBot="1" x14ac:dyDescent="0.3">
      <c r="B8" s="2" t="s">
        <v>6</v>
      </c>
      <c r="C8" s="169">
        <f>C9</f>
        <v>11650889.85</v>
      </c>
    </row>
    <row r="9" spans="2:3" ht="19.5" thickBot="1" x14ac:dyDescent="0.3">
      <c r="B9" s="7" t="s">
        <v>7</v>
      </c>
      <c r="C9" s="170">
        <f>9411713.32+2193534.28+856.11+44786.14</f>
        <v>11650889.85</v>
      </c>
    </row>
    <row r="10" spans="2:3" ht="19.5" thickBot="1" x14ac:dyDescent="0.3">
      <c r="B10" s="2" t="s">
        <v>10</v>
      </c>
      <c r="C10" s="171">
        <f>SUM(C11:C28)</f>
        <v>10780421.389999997</v>
      </c>
    </row>
    <row r="11" spans="2:3" ht="19.5" thickBot="1" x14ac:dyDescent="0.3">
      <c r="B11" s="172" t="s">
        <v>103</v>
      </c>
      <c r="C11" s="170">
        <f>165763.83+315202.9+581951.33</f>
        <v>1062918.06</v>
      </c>
    </row>
    <row r="12" spans="2:3" ht="19.5" thickBot="1" x14ac:dyDescent="0.3">
      <c r="B12" s="7" t="s">
        <v>13</v>
      </c>
      <c r="C12" s="170">
        <v>4376309.41</v>
      </c>
    </row>
    <row r="13" spans="2:3" ht="19.5" thickBot="1" x14ac:dyDescent="0.3">
      <c r="B13" s="7" t="s">
        <v>14</v>
      </c>
      <c r="C13" s="170">
        <v>303429.71999999997</v>
      </c>
    </row>
    <row r="14" spans="2:3" ht="19.5" thickBot="1" x14ac:dyDescent="0.3">
      <c r="B14" s="7" t="s">
        <v>16</v>
      </c>
      <c r="C14" s="170">
        <v>207718</v>
      </c>
    </row>
    <row r="15" spans="2:3" ht="19.5" thickBot="1" x14ac:dyDescent="0.3">
      <c r="B15" s="7" t="s">
        <v>15</v>
      </c>
      <c r="C15" s="170">
        <v>33610.410000000003</v>
      </c>
    </row>
    <row r="16" spans="2:3" ht="19.5" thickBot="1" x14ac:dyDescent="0.3">
      <c r="B16" s="7" t="s">
        <v>17</v>
      </c>
      <c r="C16" s="173">
        <v>2194016.48</v>
      </c>
    </row>
    <row r="17" spans="2:3" ht="19.5" thickBot="1" x14ac:dyDescent="0.3">
      <c r="B17" s="7" t="s">
        <v>18</v>
      </c>
      <c r="C17" s="170">
        <v>201743.01</v>
      </c>
    </row>
    <row r="18" spans="2:3" ht="19.5" thickBot="1" x14ac:dyDescent="0.3">
      <c r="B18" s="7" t="s">
        <v>71</v>
      </c>
      <c r="C18" s="170">
        <v>3816.85</v>
      </c>
    </row>
    <row r="19" spans="2:3" ht="19.5" thickBot="1" x14ac:dyDescent="0.3">
      <c r="B19" s="7" t="s">
        <v>72</v>
      </c>
      <c r="C19" s="170">
        <v>2087.19</v>
      </c>
    </row>
    <row r="20" spans="2:3" ht="19.5" thickBot="1" x14ac:dyDescent="0.3">
      <c r="B20" s="7" t="s">
        <v>21</v>
      </c>
      <c r="C20" s="170">
        <v>1151379.6599999999</v>
      </c>
    </row>
    <row r="21" spans="2:3" ht="19.5" thickBot="1" x14ac:dyDescent="0.3">
      <c r="B21" s="7" t="s">
        <v>22</v>
      </c>
      <c r="C21" s="170">
        <f>378068.17+158577</f>
        <v>536645.16999999993</v>
      </c>
    </row>
    <row r="22" spans="2:3" ht="19.5" thickBot="1" x14ac:dyDescent="0.3">
      <c r="B22" s="7" t="s">
        <v>23</v>
      </c>
      <c r="C22" s="174">
        <f>354877.15+14758+140000-13684.5-5000</f>
        <v>490950.65</v>
      </c>
    </row>
    <row r="23" spans="2:3" ht="19.5" thickBot="1" x14ac:dyDescent="0.3">
      <c r="B23" s="7" t="s">
        <v>24</v>
      </c>
      <c r="C23" s="175">
        <f>3813+5000</f>
        <v>8813</v>
      </c>
    </row>
    <row r="24" spans="2:3" ht="19.5" thickBot="1" x14ac:dyDescent="0.3">
      <c r="B24" s="7" t="s">
        <v>25</v>
      </c>
      <c r="C24" s="170">
        <v>163258.79</v>
      </c>
    </row>
    <row r="25" spans="2:3" ht="19.5" thickBot="1" x14ac:dyDescent="0.3">
      <c r="B25" s="7" t="s">
        <v>26</v>
      </c>
      <c r="C25" s="170">
        <f>21986.87+2490</f>
        <v>24476.87</v>
      </c>
    </row>
    <row r="26" spans="2:3" ht="19.5" thickBot="1" x14ac:dyDescent="0.3">
      <c r="B26" s="7" t="s">
        <v>28</v>
      </c>
      <c r="C26" s="176">
        <v>13200</v>
      </c>
    </row>
    <row r="27" spans="2:3" ht="19.5" thickBot="1" x14ac:dyDescent="0.3">
      <c r="B27" s="7" t="s">
        <v>30</v>
      </c>
      <c r="C27" s="175" t="s">
        <v>92</v>
      </c>
    </row>
    <row r="28" spans="2:3" ht="19.5" thickBot="1" x14ac:dyDescent="0.3">
      <c r="B28" s="7" t="s">
        <v>29</v>
      </c>
      <c r="C28" s="175">
        <v>6048.12</v>
      </c>
    </row>
    <row r="29" spans="2:3" ht="19.5" thickBot="1" x14ac:dyDescent="0.3">
      <c r="B29" s="7" t="s">
        <v>104</v>
      </c>
      <c r="C29" s="169">
        <v>13684.5</v>
      </c>
    </row>
    <row r="30" spans="2:3" ht="19.5" thickBot="1" x14ac:dyDescent="0.3">
      <c r="B30" s="7" t="s">
        <v>105</v>
      </c>
      <c r="C30" s="169">
        <v>866861.55</v>
      </c>
    </row>
  </sheetData>
  <mergeCells count="2">
    <mergeCell ref="B2:C2"/>
    <mergeCell ref="B3:C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D22" sqref="D22"/>
    </sheetView>
  </sheetViews>
  <sheetFormatPr defaultRowHeight="15" x14ac:dyDescent="0.25"/>
  <cols>
    <col min="1" max="1" width="36.140625" customWidth="1"/>
    <col min="2" max="2" width="11" customWidth="1"/>
    <col min="4" max="4" width="13.85546875" customWidth="1"/>
    <col min="5" max="5" width="15.28515625" customWidth="1"/>
    <col min="6" max="6" width="13" customWidth="1"/>
    <col min="8" max="8" width="11.42578125" bestFit="1" customWidth="1"/>
  </cols>
  <sheetData>
    <row r="1" spans="1:8" ht="18" customHeight="1" x14ac:dyDescent="0.25">
      <c r="A1" s="221" t="s">
        <v>106</v>
      </c>
      <c r="B1" s="221"/>
      <c r="C1" s="221"/>
      <c r="D1" s="221"/>
      <c r="E1" s="221"/>
      <c r="F1" s="221"/>
      <c r="G1" s="221"/>
    </row>
    <row r="2" spans="1:8" ht="19.5" customHeight="1" x14ac:dyDescent="0.25">
      <c r="A2" s="221" t="s">
        <v>107</v>
      </c>
      <c r="B2" s="221"/>
      <c r="C2" s="221"/>
      <c r="D2" s="221"/>
      <c r="E2" s="221"/>
      <c r="F2" s="221"/>
      <c r="G2" s="221"/>
    </row>
    <row r="3" spans="1:8" ht="9.75" customHeight="1" x14ac:dyDescent="0.25">
      <c r="A3" s="20"/>
      <c r="B3" s="20"/>
      <c r="C3" s="20"/>
      <c r="D3" s="20"/>
      <c r="E3" s="20"/>
      <c r="F3" s="20"/>
      <c r="G3" s="20"/>
    </row>
    <row r="4" spans="1:8" s="57" customFormat="1" ht="16.5" customHeight="1" x14ac:dyDescent="0.2">
      <c r="A4" s="56" t="s">
        <v>108</v>
      </c>
      <c r="B4" s="227" t="s">
        <v>109</v>
      </c>
      <c r="C4" s="227"/>
      <c r="D4" s="227" t="s">
        <v>110</v>
      </c>
      <c r="E4" s="227"/>
      <c r="F4" s="227" t="s">
        <v>111</v>
      </c>
      <c r="G4" s="227"/>
    </row>
    <row r="5" spans="1:8" s="57" customFormat="1" ht="16.5" customHeight="1" x14ac:dyDescent="0.2">
      <c r="A5" s="56" t="s">
        <v>112</v>
      </c>
      <c r="B5" s="228" t="s">
        <v>113</v>
      </c>
      <c r="C5" s="228" t="s">
        <v>114</v>
      </c>
      <c r="D5" s="228" t="s">
        <v>113</v>
      </c>
      <c r="E5" s="228" t="s">
        <v>114</v>
      </c>
      <c r="F5" s="228" t="s">
        <v>113</v>
      </c>
      <c r="G5" s="228" t="s">
        <v>114</v>
      </c>
    </row>
    <row r="6" spans="1:8" s="57" customFormat="1" ht="16.5" customHeight="1" x14ac:dyDescent="0.2">
      <c r="A6" s="56" t="s">
        <v>115</v>
      </c>
      <c r="B6" s="229"/>
      <c r="C6" s="229"/>
      <c r="D6" s="229"/>
      <c r="E6" s="229"/>
      <c r="F6" s="229"/>
      <c r="G6" s="229"/>
    </row>
    <row r="7" spans="1:8" x14ac:dyDescent="0.25">
      <c r="A7" s="21" t="s">
        <v>116</v>
      </c>
      <c r="B7" s="22">
        <v>7889.23</v>
      </c>
      <c r="C7" s="23"/>
      <c r="D7" s="22">
        <v>12850889.85</v>
      </c>
      <c r="E7" s="22">
        <v>11991917.529999999</v>
      </c>
      <c r="F7" s="22">
        <v>866861.55</v>
      </c>
      <c r="G7" s="23"/>
    </row>
    <row r="8" spans="1:8" ht="16.5" customHeight="1" x14ac:dyDescent="0.25">
      <c r="A8" s="24" t="s">
        <v>117</v>
      </c>
      <c r="B8" s="25">
        <v>7889.23</v>
      </c>
      <c r="C8" s="26"/>
      <c r="D8" s="25">
        <v>12850889.85</v>
      </c>
      <c r="E8" s="25">
        <v>11991917.529999999</v>
      </c>
      <c r="F8" s="25">
        <v>866861.55</v>
      </c>
      <c r="G8" s="26"/>
    </row>
    <row r="9" spans="1:8" ht="14.45" customHeight="1" x14ac:dyDescent="0.25">
      <c r="A9" s="27" t="s">
        <v>118</v>
      </c>
      <c r="B9" s="28"/>
      <c r="C9" s="28"/>
      <c r="D9" s="29">
        <v>3393534.28</v>
      </c>
      <c r="E9" s="36">
        <v>1200000</v>
      </c>
      <c r="F9" s="37"/>
      <c r="G9" s="37"/>
    </row>
    <row r="10" spans="1:8" ht="14.45" customHeight="1" x14ac:dyDescent="0.25">
      <c r="A10" s="27" t="s">
        <v>119</v>
      </c>
      <c r="B10" s="28"/>
      <c r="C10" s="28"/>
      <c r="D10" s="35"/>
      <c r="E10" s="40">
        <v>165763.82999999999</v>
      </c>
      <c r="F10" s="41"/>
      <c r="G10" s="41"/>
      <c r="H10" s="216">
        <f>SUM(E10:E12)</f>
        <v>1062918.06</v>
      </c>
    </row>
    <row r="11" spans="1:8" ht="14.45" customHeight="1" x14ac:dyDescent="0.25">
      <c r="A11" s="27" t="s">
        <v>120</v>
      </c>
      <c r="B11" s="28"/>
      <c r="C11" s="28"/>
      <c r="D11" s="35"/>
      <c r="E11" s="42">
        <v>315202.90000000002</v>
      </c>
      <c r="F11" s="28"/>
      <c r="G11" s="28"/>
      <c r="H11" s="222"/>
    </row>
    <row r="12" spans="1:8" ht="14.45" customHeight="1" x14ac:dyDescent="0.25">
      <c r="A12" s="27" t="s">
        <v>121</v>
      </c>
      <c r="B12" s="28"/>
      <c r="C12" s="28"/>
      <c r="D12" s="35"/>
      <c r="E12" s="43">
        <v>581951.32999999996</v>
      </c>
      <c r="F12" s="44"/>
      <c r="G12" s="44"/>
      <c r="H12" s="223"/>
    </row>
    <row r="13" spans="1:8" ht="14.45" customHeight="1" x14ac:dyDescent="0.25">
      <c r="A13" s="27" t="s">
        <v>122</v>
      </c>
      <c r="B13" s="28"/>
      <c r="C13" s="28"/>
      <c r="D13" s="35"/>
      <c r="E13" s="46">
        <v>140000</v>
      </c>
      <c r="F13" s="41"/>
      <c r="G13" s="41"/>
      <c r="H13" s="224">
        <f>SUM(E13:E15)</f>
        <v>480548.53</v>
      </c>
    </row>
    <row r="14" spans="1:8" ht="14.45" customHeight="1" x14ac:dyDescent="0.25">
      <c r="A14" s="27" t="s">
        <v>124</v>
      </c>
      <c r="B14" s="28"/>
      <c r="C14" s="28"/>
      <c r="D14" s="35"/>
      <c r="E14" s="47">
        <f>D58</f>
        <v>325790.53000000003</v>
      </c>
      <c r="F14" s="28"/>
      <c r="G14" s="28"/>
      <c r="H14" s="225"/>
    </row>
    <row r="15" spans="1:8" ht="14.45" customHeight="1" x14ac:dyDescent="0.25">
      <c r="A15" s="27" t="s">
        <v>137</v>
      </c>
      <c r="B15" s="28"/>
      <c r="C15" s="28"/>
      <c r="D15" s="35"/>
      <c r="E15" s="48">
        <v>14758</v>
      </c>
      <c r="F15" s="44"/>
      <c r="G15" s="44"/>
      <c r="H15" s="226"/>
    </row>
    <row r="16" spans="1:8" ht="14.45" customHeight="1" x14ac:dyDescent="0.25">
      <c r="A16" s="27" t="s">
        <v>125</v>
      </c>
      <c r="B16" s="28"/>
      <c r="C16" s="28"/>
      <c r="D16" s="28"/>
      <c r="E16" s="54">
        <v>6048.12</v>
      </c>
      <c r="F16" s="53"/>
      <c r="G16" s="53"/>
    </row>
    <row r="17" spans="1:8" ht="14.45" customHeight="1" x14ac:dyDescent="0.25">
      <c r="A17" s="27" t="s">
        <v>123</v>
      </c>
      <c r="B17" s="28"/>
      <c r="C17" s="28"/>
      <c r="D17" s="35"/>
      <c r="E17" s="46">
        <v>1151379.6599999999</v>
      </c>
      <c r="F17" s="41"/>
      <c r="G17" s="41"/>
      <c r="H17" s="219">
        <f>SUM(E17:E18)</f>
        <v>1309956.6599999999</v>
      </c>
    </row>
    <row r="18" spans="1:8" s="111" customFormat="1" ht="14.45" customHeight="1" x14ac:dyDescent="0.25">
      <c r="A18" s="27" t="s">
        <v>136</v>
      </c>
      <c r="B18" s="28"/>
      <c r="C18" s="28"/>
      <c r="D18" s="35"/>
      <c r="E18" s="48">
        <v>158577</v>
      </c>
      <c r="F18" s="44"/>
      <c r="G18" s="44"/>
      <c r="H18" s="220"/>
    </row>
    <row r="19" spans="1:8" ht="14.45" customHeight="1" x14ac:dyDescent="0.25">
      <c r="A19" s="27" t="s">
        <v>126</v>
      </c>
      <c r="B19" s="28"/>
      <c r="C19" s="28"/>
      <c r="D19" s="35"/>
      <c r="E19" s="40">
        <v>26262.85</v>
      </c>
      <c r="F19" s="49"/>
      <c r="G19" s="49"/>
      <c r="H19" s="216">
        <f>SUM(E19:E23)</f>
        <v>376574.29</v>
      </c>
    </row>
    <row r="20" spans="1:8" ht="14.45" customHeight="1" x14ac:dyDescent="0.25">
      <c r="A20" s="27" t="s">
        <v>127</v>
      </c>
      <c r="B20" s="28"/>
      <c r="C20" s="28"/>
      <c r="D20" s="35"/>
      <c r="E20" s="42">
        <v>1808.32</v>
      </c>
      <c r="F20" s="50"/>
      <c r="G20" s="50"/>
      <c r="H20" s="217"/>
    </row>
    <row r="21" spans="1:8" ht="14.45" customHeight="1" x14ac:dyDescent="0.25">
      <c r="A21" s="27" t="s">
        <v>128</v>
      </c>
      <c r="B21" s="28"/>
      <c r="C21" s="28"/>
      <c r="D21" s="35"/>
      <c r="E21" s="42">
        <v>283160</v>
      </c>
      <c r="F21" s="50"/>
      <c r="G21" s="50"/>
      <c r="H21" s="217"/>
    </row>
    <row r="22" spans="1:8" ht="14.45" customHeight="1" x14ac:dyDescent="0.25">
      <c r="A22" s="27" t="s">
        <v>129</v>
      </c>
      <c r="B22" s="28"/>
      <c r="C22" s="28"/>
      <c r="D22" s="45">
        <v>44786.14</v>
      </c>
      <c r="E22" s="51">
        <v>855.12</v>
      </c>
      <c r="F22" s="50"/>
      <c r="G22" s="50"/>
      <c r="H22" s="217"/>
    </row>
    <row r="23" spans="1:8" ht="14.45" customHeight="1" x14ac:dyDescent="0.25">
      <c r="A23" s="27" t="s">
        <v>130</v>
      </c>
      <c r="B23" s="28"/>
      <c r="C23" s="28"/>
      <c r="D23" s="35"/>
      <c r="E23" s="43">
        <v>64488</v>
      </c>
      <c r="F23" s="52"/>
      <c r="G23" s="52"/>
      <c r="H23" s="218"/>
    </row>
    <row r="24" spans="1:8" ht="14.45" customHeight="1" x14ac:dyDescent="0.25">
      <c r="A24" s="27" t="s">
        <v>131</v>
      </c>
      <c r="B24" s="28"/>
      <c r="C24" s="28"/>
      <c r="D24" s="28"/>
      <c r="E24" s="38">
        <v>33610.410000000003</v>
      </c>
      <c r="F24" s="39"/>
      <c r="G24" s="39"/>
    </row>
    <row r="25" spans="1:8" ht="14.45" customHeight="1" x14ac:dyDescent="0.25">
      <c r="A25" s="27" t="s">
        <v>132</v>
      </c>
      <c r="B25" s="28"/>
      <c r="C25" s="28"/>
      <c r="D25" s="28"/>
      <c r="E25" s="29">
        <v>201743.01</v>
      </c>
      <c r="F25" s="28"/>
      <c r="G25" s="28"/>
    </row>
    <row r="26" spans="1:8" ht="14.45" customHeight="1" x14ac:dyDescent="0.25">
      <c r="A26" s="27" t="s">
        <v>133</v>
      </c>
      <c r="B26" s="28"/>
      <c r="C26" s="28"/>
      <c r="D26" s="29">
        <v>9411713.3200000003</v>
      </c>
      <c r="E26" s="29">
        <v>2194016.48</v>
      </c>
      <c r="F26" s="28"/>
      <c r="G26" s="28"/>
    </row>
    <row r="27" spans="1:8" ht="14.45" customHeight="1" x14ac:dyDescent="0.25">
      <c r="A27" s="27" t="s">
        <v>134</v>
      </c>
      <c r="B27" s="28"/>
      <c r="C27" s="28"/>
      <c r="D27" s="28"/>
      <c r="E27" s="29">
        <v>2087.19</v>
      </c>
      <c r="F27" s="28"/>
      <c r="G27" s="28"/>
    </row>
    <row r="28" spans="1:8" ht="14.45" customHeight="1" x14ac:dyDescent="0.25">
      <c r="A28" s="27" t="s">
        <v>135</v>
      </c>
      <c r="B28" s="28"/>
      <c r="C28" s="28"/>
      <c r="D28" s="28"/>
      <c r="E28" s="29">
        <v>1493.88</v>
      </c>
      <c r="F28" s="28"/>
      <c r="G28" s="28"/>
    </row>
    <row r="29" spans="1:8" ht="14.45" customHeight="1" x14ac:dyDescent="0.25">
      <c r="A29" s="27" t="s">
        <v>138</v>
      </c>
      <c r="B29" s="28"/>
      <c r="C29" s="28"/>
      <c r="D29" s="28"/>
      <c r="E29" s="29">
        <v>303429.71999999997</v>
      </c>
      <c r="F29" s="28"/>
      <c r="G29" s="28"/>
    </row>
    <row r="30" spans="1:8" ht="14.45" customHeight="1" x14ac:dyDescent="0.25">
      <c r="A30" s="27" t="s">
        <v>139</v>
      </c>
      <c r="B30" s="28"/>
      <c r="C30" s="28"/>
      <c r="D30" s="28"/>
      <c r="E30" s="29">
        <v>207718</v>
      </c>
      <c r="F30" s="28"/>
      <c r="G30" s="28"/>
    </row>
    <row r="31" spans="1:8" ht="14.45" customHeight="1" x14ac:dyDescent="0.25">
      <c r="A31" s="27" t="s">
        <v>140</v>
      </c>
      <c r="B31" s="28"/>
      <c r="C31" s="28"/>
      <c r="D31" s="28"/>
      <c r="E31" s="29">
        <v>4376309.41</v>
      </c>
      <c r="F31" s="28"/>
      <c r="G31" s="28"/>
    </row>
    <row r="32" spans="1:8" ht="14.45" customHeight="1" x14ac:dyDescent="0.25">
      <c r="A32" s="27" t="s">
        <v>141</v>
      </c>
      <c r="B32" s="28"/>
      <c r="C32" s="28"/>
      <c r="D32" s="30">
        <v>856.11</v>
      </c>
      <c r="E32" s="29">
        <v>163258.79</v>
      </c>
      <c r="F32" s="28"/>
      <c r="G32" s="28"/>
    </row>
    <row r="33" spans="1:7" ht="14.45" customHeight="1" x14ac:dyDescent="0.25">
      <c r="A33" s="27" t="s">
        <v>142</v>
      </c>
      <c r="B33" s="28"/>
      <c r="C33" s="28"/>
      <c r="D33" s="28"/>
      <c r="E33" s="29">
        <v>13200</v>
      </c>
      <c r="F33" s="28"/>
      <c r="G33" s="28"/>
    </row>
    <row r="34" spans="1:7" ht="14.45" customHeight="1" x14ac:dyDescent="0.25">
      <c r="A34" s="27" t="s">
        <v>143</v>
      </c>
      <c r="B34" s="28"/>
      <c r="C34" s="28"/>
      <c r="D34" s="28"/>
      <c r="E34" s="29">
        <v>3816.85</v>
      </c>
      <c r="F34" s="28"/>
      <c r="G34" s="28"/>
    </row>
    <row r="35" spans="1:7" x14ac:dyDescent="0.25">
      <c r="A35" s="27" t="s">
        <v>144</v>
      </c>
      <c r="B35" s="28"/>
      <c r="C35" s="28"/>
      <c r="D35" s="28"/>
      <c r="E35" s="30">
        <v>63.01</v>
      </c>
      <c r="F35" s="28"/>
      <c r="G35" s="28"/>
    </row>
    <row r="36" spans="1:7" x14ac:dyDescent="0.25">
      <c r="A36" s="31" t="s">
        <v>145</v>
      </c>
      <c r="B36" s="32">
        <v>7889.23</v>
      </c>
      <c r="C36" s="33"/>
      <c r="D36" s="32">
        <v>12850889.85</v>
      </c>
      <c r="E36" s="32">
        <v>11991917.529999999</v>
      </c>
      <c r="F36" s="32">
        <v>866861.55</v>
      </c>
      <c r="G36" s="33"/>
    </row>
    <row r="37" spans="1:7" ht="18.75" customHeight="1" x14ac:dyDescent="0.25">
      <c r="D37" s="55">
        <f>D36-D9</f>
        <v>9457355.5700000003</v>
      </c>
      <c r="E37" s="55">
        <f>E36-E9</f>
        <v>10791917.529999999</v>
      </c>
    </row>
    <row r="39" spans="1:7" x14ac:dyDescent="0.25">
      <c r="A39" s="112" t="s">
        <v>196</v>
      </c>
      <c r="B39" s="28"/>
      <c r="C39" s="28"/>
      <c r="D39" s="29">
        <v>6309</v>
      </c>
      <c r="E39" s="29">
        <v>6309</v>
      </c>
    </row>
    <row r="40" spans="1:7" x14ac:dyDescent="0.25">
      <c r="A40" s="112" t="s">
        <v>197</v>
      </c>
      <c r="B40" s="28"/>
      <c r="C40" s="28"/>
      <c r="D40" s="29">
        <v>4240</v>
      </c>
      <c r="E40" s="29">
        <v>6400</v>
      </c>
    </row>
    <row r="41" spans="1:7" x14ac:dyDescent="0.25">
      <c r="A41" s="112" t="s">
        <v>198</v>
      </c>
      <c r="B41" s="28"/>
      <c r="C41" s="28"/>
      <c r="D41" s="29">
        <v>47300</v>
      </c>
      <c r="E41" s="28"/>
    </row>
    <row r="42" spans="1:7" x14ac:dyDescent="0.25">
      <c r="A42" s="112" t="s">
        <v>199</v>
      </c>
      <c r="B42" s="28"/>
      <c r="C42" s="28"/>
      <c r="D42" s="29">
        <v>18300</v>
      </c>
      <c r="E42" s="29">
        <v>18300</v>
      </c>
    </row>
    <row r="43" spans="1:7" x14ac:dyDescent="0.25">
      <c r="A43" s="112" t="s">
        <v>200</v>
      </c>
      <c r="B43" s="28" t="s">
        <v>221</v>
      </c>
      <c r="C43" s="28"/>
      <c r="D43" s="29">
        <f>27800</f>
        <v>27800</v>
      </c>
      <c r="E43" s="28"/>
    </row>
    <row r="44" spans="1:7" x14ac:dyDescent="0.25">
      <c r="A44" s="112" t="s">
        <v>201</v>
      </c>
      <c r="B44" s="28"/>
      <c r="C44" s="28"/>
      <c r="D44" s="29">
        <v>9070</v>
      </c>
      <c r="E44" s="29">
        <v>9070</v>
      </c>
    </row>
    <row r="45" spans="1:7" x14ac:dyDescent="0.25">
      <c r="A45" s="112" t="s">
        <v>202</v>
      </c>
      <c r="B45" s="28"/>
      <c r="C45" s="28"/>
      <c r="D45" s="29">
        <v>1883.5</v>
      </c>
      <c r="E45" s="29">
        <v>1883.5</v>
      </c>
    </row>
    <row r="46" spans="1:7" x14ac:dyDescent="0.25">
      <c r="A46" s="112" t="s">
        <v>203</v>
      </c>
      <c r="B46" s="28"/>
      <c r="C46" s="28"/>
      <c r="D46" s="29">
        <v>23040</v>
      </c>
      <c r="E46" s="29">
        <v>23040</v>
      </c>
    </row>
    <row r="47" spans="1:7" x14ac:dyDescent="0.25">
      <c r="A47" s="112" t="s">
        <v>204</v>
      </c>
      <c r="B47" s="28"/>
      <c r="C47" s="28"/>
      <c r="D47" s="29">
        <v>76850</v>
      </c>
      <c r="E47" s="29">
        <v>76850</v>
      </c>
    </row>
    <row r="48" spans="1:7" x14ac:dyDescent="0.25">
      <c r="A48" s="112" t="s">
        <v>205</v>
      </c>
      <c r="B48" s="28"/>
      <c r="C48" s="28"/>
      <c r="D48" s="29">
        <v>15910</v>
      </c>
      <c r="E48" s="29">
        <v>15910</v>
      </c>
    </row>
    <row r="49" spans="1:7" x14ac:dyDescent="0.25">
      <c r="A49" s="112" t="s">
        <v>206</v>
      </c>
      <c r="B49" s="28"/>
      <c r="C49" s="28"/>
      <c r="D49" s="29">
        <v>1400</v>
      </c>
      <c r="E49" s="29">
        <v>1400</v>
      </c>
    </row>
    <row r="50" spans="1:7" x14ac:dyDescent="0.25">
      <c r="A50" s="112" t="s">
        <v>197</v>
      </c>
      <c r="B50" s="28"/>
      <c r="C50" s="28"/>
      <c r="D50" s="29">
        <v>6400</v>
      </c>
      <c r="E50" s="29">
        <v>6400</v>
      </c>
    </row>
    <row r="51" spans="1:7" x14ac:dyDescent="0.25">
      <c r="A51" s="112" t="s">
        <v>207</v>
      </c>
      <c r="B51" s="28"/>
      <c r="C51" s="28"/>
      <c r="D51" s="29">
        <v>59100</v>
      </c>
      <c r="E51" s="29">
        <v>59100</v>
      </c>
    </row>
    <row r="52" spans="1:7" x14ac:dyDescent="0.25">
      <c r="A52" s="141" t="s">
        <v>223</v>
      </c>
      <c r="B52" s="142"/>
      <c r="C52" s="142"/>
      <c r="D52" s="143">
        <v>936.27</v>
      </c>
      <c r="E52" s="144">
        <v>2326.87</v>
      </c>
      <c r="F52" s="142"/>
      <c r="G52" s="144"/>
    </row>
    <row r="53" spans="1:7" x14ac:dyDescent="0.25">
      <c r="A53" s="112" t="s">
        <v>208</v>
      </c>
      <c r="B53" s="28"/>
      <c r="C53" s="28"/>
      <c r="D53" s="29">
        <v>3700</v>
      </c>
      <c r="E53" s="29">
        <v>3700</v>
      </c>
    </row>
    <row r="54" spans="1:7" x14ac:dyDescent="0.25">
      <c r="A54" s="141" t="s">
        <v>224</v>
      </c>
      <c r="B54" s="142"/>
      <c r="C54" s="142"/>
      <c r="D54" s="144">
        <v>1200</v>
      </c>
      <c r="E54" s="144">
        <v>1200</v>
      </c>
    </row>
    <row r="55" spans="1:7" x14ac:dyDescent="0.25">
      <c r="A55" s="112" t="s">
        <v>209</v>
      </c>
      <c r="B55" s="28"/>
      <c r="C55" s="28"/>
      <c r="D55" s="29">
        <v>9320</v>
      </c>
      <c r="E55" s="29">
        <v>9320</v>
      </c>
    </row>
    <row r="56" spans="1:7" x14ac:dyDescent="0.25">
      <c r="A56" s="112" t="s">
        <v>210</v>
      </c>
      <c r="B56" s="28"/>
      <c r="C56" s="28"/>
      <c r="D56" s="29">
        <v>6501.76</v>
      </c>
      <c r="E56" s="29">
        <v>6701.78</v>
      </c>
    </row>
    <row r="57" spans="1:7" x14ac:dyDescent="0.25">
      <c r="A57" s="112" t="s">
        <v>211</v>
      </c>
      <c r="B57" s="28"/>
      <c r="C57" s="28"/>
      <c r="D57" s="29">
        <v>6530</v>
      </c>
      <c r="E57" s="28"/>
    </row>
    <row r="58" spans="1:7" x14ac:dyDescent="0.25">
      <c r="D58" s="113">
        <f>SUM(D39:D57)</f>
        <v>325790.53000000003</v>
      </c>
    </row>
  </sheetData>
  <mergeCells count="15">
    <mergeCell ref="H19:H23"/>
    <mergeCell ref="H17:H18"/>
    <mergeCell ref="A1:G1"/>
    <mergeCell ref="A2:G2"/>
    <mergeCell ref="H10:H12"/>
    <mergeCell ref="H13:H15"/>
    <mergeCell ref="B4:C4"/>
    <mergeCell ref="D4:E4"/>
    <mergeCell ref="F4:G4"/>
    <mergeCell ref="B5:B6"/>
    <mergeCell ref="C5:C6"/>
    <mergeCell ref="D5:D6"/>
    <mergeCell ref="E5:E6"/>
    <mergeCell ref="F5:F6"/>
    <mergeCell ref="G5:G6"/>
  </mergeCells>
  <pageMargins left="0.51181102362204722" right="0.31496062992125984" top="0.74803149606299213" bottom="0.35433070866141736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topLeftCell="A4" workbookViewId="0">
      <selection activeCell="C15" sqref="C15:C17"/>
    </sheetView>
  </sheetViews>
  <sheetFormatPr defaultRowHeight="15" x14ac:dyDescent="0.25"/>
  <cols>
    <col min="1" max="1" width="1.7109375" customWidth="1"/>
    <col min="2" max="2" width="36" customWidth="1"/>
    <col min="3" max="3" width="17.85546875" customWidth="1"/>
    <col min="4" max="4" width="15.140625" customWidth="1"/>
    <col min="5" max="5" width="14.7109375" customWidth="1"/>
    <col min="6" max="6" width="14.42578125" customWidth="1"/>
    <col min="7" max="7" width="15.5703125" customWidth="1"/>
  </cols>
  <sheetData>
    <row r="1" spans="2:7" ht="26.25" x14ac:dyDescent="0.25">
      <c r="D1" s="59" t="s">
        <v>165</v>
      </c>
    </row>
    <row r="2" spans="2:7" ht="26.25" x14ac:dyDescent="0.25">
      <c r="D2" s="59" t="s">
        <v>166</v>
      </c>
    </row>
    <row r="3" spans="2:7" ht="26.25" x14ac:dyDescent="0.25">
      <c r="D3" s="59" t="s">
        <v>169</v>
      </c>
    </row>
    <row r="4" spans="2:7" ht="15.75" thickBot="1" x14ac:dyDescent="0.3"/>
    <row r="5" spans="2:7" s="61" customFormat="1" ht="24" customHeight="1" thickBot="1" x14ac:dyDescent="0.3">
      <c r="B5" s="58" t="s">
        <v>67</v>
      </c>
      <c r="C5" s="60" t="s">
        <v>146</v>
      </c>
      <c r="D5" s="60" t="s">
        <v>147</v>
      </c>
      <c r="E5" s="60">
        <v>15</v>
      </c>
      <c r="F5" s="60">
        <v>7</v>
      </c>
      <c r="G5" s="60">
        <v>14</v>
      </c>
    </row>
    <row r="6" spans="2:7" s="111" customFormat="1" ht="27.75" customHeight="1" x14ac:dyDescent="0.25">
      <c r="B6" s="108" t="s">
        <v>148</v>
      </c>
      <c r="C6" s="109">
        <v>16634</v>
      </c>
      <c r="D6" s="109">
        <v>2726.3</v>
      </c>
      <c r="E6" s="109">
        <v>2731.8</v>
      </c>
      <c r="F6" s="109">
        <v>5759.4</v>
      </c>
      <c r="G6" s="110">
        <v>5416.5</v>
      </c>
    </row>
    <row r="7" spans="2:7" s="65" customFormat="1" ht="39.75" customHeight="1" x14ac:dyDescent="0.25">
      <c r="B7" s="105" t="s">
        <v>193</v>
      </c>
      <c r="C7" s="106">
        <f>SUM(D7:G7)</f>
        <v>1790786.7999999998</v>
      </c>
      <c r="D7" s="106">
        <f>272861.39</f>
        <v>272861.39</v>
      </c>
      <c r="E7" s="106">
        <f>278639.3</f>
        <v>278639.3</v>
      </c>
      <c r="F7" s="106">
        <f>636911.9</f>
        <v>636911.9</v>
      </c>
      <c r="G7" s="107">
        <f>602374.21</f>
        <v>602374.21</v>
      </c>
    </row>
    <row r="8" spans="2:7" s="62" customFormat="1" ht="44.25" customHeight="1" x14ac:dyDescent="0.25">
      <c r="B8" s="91" t="s">
        <v>192</v>
      </c>
      <c r="C8" s="93">
        <v>299371</v>
      </c>
      <c r="D8" s="86">
        <f>C8/C6*D6</f>
        <v>49066.680131056877</v>
      </c>
      <c r="E8" s="86">
        <f>C8/C6*E6</f>
        <v>49165.666574485993</v>
      </c>
      <c r="F8" s="86">
        <f>C8/C6*F6</f>
        <v>103655.0040519418</v>
      </c>
      <c r="G8" s="87">
        <f>C8/C6*G6</f>
        <v>97483.649242515326</v>
      </c>
    </row>
    <row r="9" spans="2:7" s="62" customFormat="1" ht="23.25" customHeight="1" x14ac:dyDescent="0.25">
      <c r="B9" s="91" t="s">
        <v>151</v>
      </c>
      <c r="C9" s="85">
        <f>SUM(D9:G9)</f>
        <v>90007.764693411082</v>
      </c>
      <c r="D9" s="85">
        <f>D8*30.2%</f>
        <v>14818.137399579176</v>
      </c>
      <c r="E9" s="85">
        <f t="shared" ref="E9:E11" si="0">E8*30.2%</f>
        <v>14848.031305494769</v>
      </c>
      <c r="F9" s="85">
        <f>F8*30%</f>
        <v>31096.501215582539</v>
      </c>
      <c r="G9" s="135">
        <f>G8*30%</f>
        <v>29245.094772754597</v>
      </c>
    </row>
    <row r="10" spans="2:7" s="62" customFormat="1" ht="30.75" customHeight="1" x14ac:dyDescent="0.25">
      <c r="B10" s="91" t="s">
        <v>150</v>
      </c>
      <c r="C10" s="85">
        <f>SUM(D10:G10)</f>
        <v>707409</v>
      </c>
      <c r="D10" s="85">
        <v>127332</v>
      </c>
      <c r="E10" s="85">
        <v>127332</v>
      </c>
      <c r="F10" s="85">
        <f>187935+49132</f>
        <v>237067</v>
      </c>
      <c r="G10" s="135">
        <f>264810-49132</f>
        <v>215678</v>
      </c>
    </row>
    <row r="11" spans="2:7" s="62" customFormat="1" ht="22.5" customHeight="1" x14ac:dyDescent="0.25">
      <c r="B11" s="91" t="s">
        <v>151</v>
      </c>
      <c r="C11" s="85">
        <v>90108</v>
      </c>
      <c r="D11" s="85">
        <f>D10*30.2%</f>
        <v>38454.263999999996</v>
      </c>
      <c r="E11" s="85">
        <f t="shared" si="0"/>
        <v>38454.263999999996</v>
      </c>
      <c r="F11" s="85">
        <f>F10*30%</f>
        <v>71120.099999999991</v>
      </c>
      <c r="G11" s="135">
        <f>G10*30%</f>
        <v>64703.399999999994</v>
      </c>
    </row>
    <row r="12" spans="2:7" s="62" customFormat="1" ht="30.75" customHeight="1" x14ac:dyDescent="0.25">
      <c r="B12" s="91" t="s">
        <v>141</v>
      </c>
      <c r="C12" s="93">
        <v>163259</v>
      </c>
      <c r="D12" s="86">
        <f>C12/C6*D6</f>
        <v>26758.026433810268</v>
      </c>
      <c r="E12" s="86">
        <f>C12/C6*E6</f>
        <v>26812.007707105928</v>
      </c>
      <c r="F12" s="86">
        <f>C12/C6*F6</f>
        <v>56527.226439822043</v>
      </c>
      <c r="G12" s="87">
        <f>C12/C6*G6</f>
        <v>53161.73941926175</v>
      </c>
    </row>
    <row r="13" spans="2:7" s="65" customFormat="1" ht="27" customHeight="1" x14ac:dyDescent="0.25">
      <c r="B13" s="81" t="s">
        <v>168</v>
      </c>
      <c r="C13" s="82">
        <v>13200</v>
      </c>
      <c r="D13" s="83">
        <v>2163.4699999999998</v>
      </c>
      <c r="E13" s="83">
        <v>2167.83</v>
      </c>
      <c r="F13" s="83">
        <v>4570.3999999999996</v>
      </c>
      <c r="G13" s="84">
        <v>4298.3</v>
      </c>
    </row>
    <row r="14" spans="2:7" s="62" customFormat="1" ht="25.5" customHeight="1" x14ac:dyDescent="0.25">
      <c r="B14" s="91" t="s">
        <v>154</v>
      </c>
      <c r="C14" s="93">
        <v>24477</v>
      </c>
      <c r="D14" s="86">
        <f>C14/C6*D6</f>
        <v>4011.7617590477339</v>
      </c>
      <c r="E14" s="86">
        <f>C14/C6*E6</f>
        <v>4019.8550318624507</v>
      </c>
      <c r="F14" s="86">
        <f>C14/C6*F6</f>
        <v>8474.980990741853</v>
      </c>
      <c r="G14" s="87">
        <f>C14/C6*G6</f>
        <v>7970.4022183479619</v>
      </c>
    </row>
    <row r="15" spans="2:7" s="62" customFormat="1" ht="33" customHeight="1" x14ac:dyDescent="0.25">
      <c r="B15" s="118" t="s">
        <v>194</v>
      </c>
      <c r="C15" s="119">
        <f>SUM(D15:G15)</f>
        <v>334913</v>
      </c>
      <c r="D15" s="119">
        <f>9000*1.272</f>
        <v>11448</v>
      </c>
      <c r="E15" s="119">
        <f>9575*1.272</f>
        <v>12179.4</v>
      </c>
      <c r="F15" s="119">
        <v>110405</v>
      </c>
      <c r="G15" s="120">
        <f>157925*1.272</f>
        <v>200880.6</v>
      </c>
    </row>
    <row r="16" spans="2:7" s="62" customFormat="1" ht="30" customHeight="1" x14ac:dyDescent="0.25">
      <c r="B16" s="116" t="s">
        <v>213</v>
      </c>
      <c r="C16" s="117">
        <f>SUM(D16:G16)</f>
        <v>221000</v>
      </c>
      <c r="D16" s="115">
        <v>68520</v>
      </c>
      <c r="E16" s="115">
        <v>11120</v>
      </c>
      <c r="F16" s="115">
        <v>71110</v>
      </c>
      <c r="G16" s="114">
        <v>70250</v>
      </c>
    </row>
    <row r="17" spans="2:7" s="62" customFormat="1" ht="31.5" customHeight="1" thickBot="1" x14ac:dyDescent="0.3">
      <c r="B17" s="92" t="s">
        <v>215</v>
      </c>
      <c r="C17" s="94">
        <f>SUM(D17:G17)</f>
        <v>128088</v>
      </c>
      <c r="D17" s="94">
        <f>2925+27480</f>
        <v>30405</v>
      </c>
      <c r="E17" s="94">
        <f>2925+27622</f>
        <v>30547</v>
      </c>
      <c r="F17" s="94">
        <f>2925+37672</f>
        <v>40597</v>
      </c>
      <c r="G17" s="90">
        <f>2925+23614</f>
        <v>26539</v>
      </c>
    </row>
    <row r="18" spans="2:7" ht="29.25" customHeight="1" thickBot="1" x14ac:dyDescent="0.3">
      <c r="B18" s="80" t="s">
        <v>216</v>
      </c>
      <c r="C18" s="88">
        <f>SUM(C8:C17)</f>
        <v>2071832.7646934111</v>
      </c>
      <c r="D18" s="88">
        <f>SUM(D8:D17)</f>
        <v>372977.33972349402</v>
      </c>
      <c r="E18" s="88">
        <f>SUM(E8:E17)</f>
        <v>316646.05461894913</v>
      </c>
      <c r="F18" s="88">
        <f>SUM(F8:F17)</f>
        <v>734623.21269808826</v>
      </c>
      <c r="G18" s="88">
        <f>SUM(G8:G17)</f>
        <v>770210.18565287965</v>
      </c>
    </row>
    <row r="19" spans="2:7" s="71" customFormat="1" ht="28.5" customHeight="1" x14ac:dyDescent="0.25">
      <c r="B19" s="121" t="s">
        <v>214</v>
      </c>
      <c r="C19" s="139">
        <v>178043.04</v>
      </c>
      <c r="D19" s="139">
        <v>71609.06</v>
      </c>
      <c r="E19" s="139">
        <v>28990.080000000002</v>
      </c>
      <c r="F19" s="139">
        <v>108315.93</v>
      </c>
      <c r="G19" s="138">
        <v>-30872.03</v>
      </c>
    </row>
    <row r="20" spans="2:7" s="71" customFormat="1" ht="8.25" customHeight="1" thickBot="1" x14ac:dyDescent="0.3">
      <c r="B20" s="79"/>
      <c r="C20" s="136"/>
      <c r="D20" s="136"/>
      <c r="E20" s="136"/>
      <c r="F20" s="136"/>
      <c r="G20" s="137"/>
    </row>
    <row r="21" spans="2:7" s="71" customFormat="1" ht="35.25" customHeight="1" thickBot="1" x14ac:dyDescent="0.3">
      <c r="B21" s="72" t="s">
        <v>163</v>
      </c>
      <c r="C21" s="89">
        <f>C7-C18+C19-C20</f>
        <v>-103002.92469341125</v>
      </c>
      <c r="D21" s="89">
        <f>D7-D18+D19-D20</f>
        <v>-28506.889723494009</v>
      </c>
      <c r="E21" s="89">
        <f>E7-E18+E19-E20</f>
        <v>-9016.6746189491387</v>
      </c>
      <c r="F21" s="89">
        <f>F7-F18+F19-F20</f>
        <v>10604.617301911756</v>
      </c>
      <c r="G21" s="89">
        <f>G7-G18+G19-G20</f>
        <v>-198708.00565287968</v>
      </c>
    </row>
    <row r="23" spans="2:7" x14ac:dyDescent="0.25">
      <c r="B23" s="74"/>
      <c r="C23" s="76"/>
    </row>
    <row r="24" spans="2:7" x14ac:dyDescent="0.25">
      <c r="B24" s="75"/>
      <c r="C24" s="34"/>
    </row>
    <row r="25" spans="2:7" x14ac:dyDescent="0.25">
      <c r="B25" s="78"/>
      <c r="D25" s="77"/>
    </row>
  </sheetData>
  <pageMargins left="0.51181102362204722" right="0.11811023622047245" top="0.35433070866141736" bottom="0.15748031496062992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2017</vt:lpstr>
      <vt:lpstr>2017 по домам</vt:lpstr>
      <vt:lpstr>01.2018</vt:lpstr>
      <vt:lpstr>02.2018</vt:lpstr>
      <vt:lpstr>03.2018</vt:lpstr>
      <vt:lpstr>2018</vt:lpstr>
      <vt:lpstr>Лист2</vt:lpstr>
      <vt:lpstr>расшифр</vt:lpstr>
      <vt:lpstr>2018 по домам</vt:lpstr>
      <vt:lpstr>расшифр (2)</vt:lpstr>
      <vt:lpstr>Лист1</vt:lpstr>
      <vt:lpstr>Лист3</vt:lpstr>
      <vt:lpstr>2019</vt:lpstr>
      <vt:lpstr>51</vt:lpstr>
      <vt:lpstr>26</vt:lpstr>
      <vt:lpstr>2019 по домам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Строитель</dc:creator>
  <cp:lastModifiedBy>Строитель</cp:lastModifiedBy>
  <cp:lastPrinted>2019-04-19T07:16:28Z</cp:lastPrinted>
  <dcterms:created xsi:type="dcterms:W3CDTF">2019-04-05T07:04:40Z</dcterms:created>
  <dcterms:modified xsi:type="dcterms:W3CDTF">2020-03-20T06:20:05Z</dcterms:modified>
</cp:coreProperties>
</file>